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873995AF-84DF-4C02-89D5-47C11CF4486D}" xr6:coauthVersionLast="46" xr6:coauthVersionMax="46" xr10:uidLastSave="{00000000-0000-0000-0000-000000000000}"/>
  <bookViews>
    <workbookView xWindow="-108" yWindow="-108" windowWidth="23256" windowHeight="12576"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F'!$A$2:$P$290</definedName>
    <definedName name="_xlnm.Print_Area" localSheetId="42">'Appendix G'!$A$3:$Z$61</definedName>
    <definedName name="_xlnm.Print_Area" localSheetId="43">'Appendix H'!$A$3:$I$54</definedName>
    <definedName name="_xlnm.Print_Area" localSheetId="44">'Appendix I'!$A$3:$I$35</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F'!$B$3:$AK$142</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Footnotes!$A$2:$O$77</definedName>
    <definedName name="_xlnm.Print_Area" localSheetId="36">'HCRA '!$A$3:$Z$63</definedName>
    <definedName name="_xlnm.Print_Area" localSheetId="37">'HCRA PROG DISB'!$A$3:$D$70</definedName>
    <definedName name="_xlnm.Print_Area" localSheetId="39">'Medicaid Disp Share'!$B$2:$M$52</definedName>
    <definedName name="_xlnm.Print_Area" localSheetId="38">'Public Goods '!$A$3:$L$54</definedName>
    <definedName name="_xlnm.Print_Area" localSheetId="29">'Sch 1 '!$A$3:$L$158</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'!$A$3:$AK$66</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3" i="42" l="1"/>
  <c r="J25" i="32"/>
  <c r="AL57" i="20"/>
  <c r="AL64" i="20"/>
  <c r="AL70" i="20"/>
  <c r="AL97" i="20"/>
  <c r="AH24" i="17"/>
  <c r="AH47" i="17"/>
  <c r="AH82" i="17"/>
  <c r="AH95" i="17"/>
  <c r="AF26" i="3"/>
  <c r="I16" i="44" l="1"/>
  <c r="E16" i="44"/>
  <c r="T26" i="22" l="1"/>
  <c r="Z16" i="43"/>
  <c r="Z15" i="43"/>
  <c r="Z12" i="43"/>
  <c r="T19" i="37"/>
  <c r="T17" i="37" l="1"/>
  <c r="T18" i="37"/>
  <c r="T20" i="37"/>
  <c r="T31" i="37"/>
  <c r="T21" i="37"/>
  <c r="T32" i="37"/>
  <c r="T22" i="37"/>
  <c r="T29" i="37"/>
  <c r="T30" i="37"/>
  <c r="T37" i="37"/>
  <c r="T15" i="37"/>
  <c r="T38" i="37"/>
  <c r="T41" i="37"/>
  <c r="T36" i="37"/>
  <c r="T23" i="37"/>
  <c r="T16" i="37"/>
  <c r="T28" i="37"/>
  <c r="T40" i="37"/>
  <c r="T42" i="37"/>
  <c r="T24" i="37" l="1"/>
  <c r="V17" i="18"/>
  <c r="D16" i="15" l="1"/>
  <c r="U21" i="16"/>
  <c r="J29" i="36" l="1"/>
  <c r="V17" i="20" l="1"/>
  <c r="H15" i="3" s="1"/>
  <c r="V112" i="20"/>
  <c r="T28" i="20"/>
  <c r="T22" i="29" l="1"/>
  <c r="F23" i="6" s="1"/>
  <c r="H49" i="3"/>
  <c r="V17" i="19"/>
  <c r="V113" i="20"/>
  <c r="H50" i="3" s="1"/>
  <c r="T16" i="29" l="1"/>
  <c r="F18" i="6" s="1"/>
  <c r="H14" i="2"/>
  <c r="H22" i="15"/>
  <c r="U21" i="17"/>
  <c r="U28" i="26" l="1"/>
  <c r="B25" i="5" s="1"/>
  <c r="T68" i="22"/>
  <c r="T25" i="22"/>
  <c r="L52" i="15" s="1"/>
  <c r="T16" i="28"/>
  <c r="B18" i="6" s="1"/>
  <c r="T58" i="22"/>
  <c r="L37" i="2" s="1"/>
  <c r="T42" i="22"/>
  <c r="T22" i="22"/>
  <c r="L44" i="15" s="1"/>
  <c r="T19" i="22"/>
  <c r="L28" i="15" s="1"/>
  <c r="U29" i="26"/>
  <c r="B26" i="5" s="1"/>
  <c r="T60" i="22"/>
  <c r="U129" i="17" s="1"/>
  <c r="U19" i="26"/>
  <c r="B18" i="5" s="1"/>
  <c r="T69" i="22"/>
  <c r="L50" i="2" s="1"/>
  <c r="U31" i="26"/>
  <c r="B28" i="5" s="1"/>
  <c r="T16" i="22"/>
  <c r="L23" i="15" s="1"/>
  <c r="T48" i="22"/>
  <c r="U20" i="26"/>
  <c r="B19" i="5" s="1"/>
  <c r="U30" i="26"/>
  <c r="B27" i="5" s="1"/>
  <c r="T52" i="22"/>
  <c r="L19" i="2" s="1"/>
  <c r="U21" i="26"/>
  <c r="B20" i="5" s="1"/>
  <c r="T24" i="27"/>
  <c r="F25" i="5" s="1"/>
  <c r="T49" i="22"/>
  <c r="L54" i="15"/>
  <c r="T47" i="22"/>
  <c r="L14" i="2" l="1"/>
  <c r="V124" i="18"/>
  <c r="V79" i="18"/>
  <c r="V103" i="20"/>
  <c r="H39" i="3" s="1"/>
  <c r="V46" i="21"/>
  <c r="V46" i="20"/>
  <c r="V114" i="18"/>
  <c r="D37" i="2" s="1"/>
  <c r="V87" i="18"/>
  <c r="V58" i="20"/>
  <c r="V28" i="18"/>
  <c r="D28" i="15" s="1"/>
  <c r="V50" i="18"/>
  <c r="U55" i="17" s="1"/>
  <c r="V91" i="18"/>
  <c r="V45" i="20"/>
  <c r="V108" i="18"/>
  <c r="D31" i="2" s="1"/>
  <c r="V109" i="18"/>
  <c r="D32" i="2" s="1"/>
  <c r="L49" i="2"/>
  <c r="T71" i="22"/>
  <c r="L40" i="2"/>
  <c r="V42" i="18" l="1"/>
  <c r="D44" i="15" s="1"/>
  <c r="V40" i="18"/>
  <c r="D42" i="15" s="1"/>
  <c r="V25" i="18"/>
  <c r="U29" i="16" s="1"/>
  <c r="V48" i="18"/>
  <c r="U53" i="17" s="1"/>
  <c r="V89" i="18"/>
  <c r="V113" i="18"/>
  <c r="D36" i="2" s="1"/>
  <c r="V32" i="20"/>
  <c r="V32" i="19" s="1"/>
  <c r="H42" i="15" s="1"/>
  <c r="U55" i="16"/>
  <c r="D53" i="15"/>
  <c r="V49" i="20"/>
  <c r="V58" i="19"/>
  <c r="U82" i="16" s="1"/>
  <c r="U82" i="17"/>
  <c r="X81" i="20"/>
  <c r="R57" i="20"/>
  <c r="C82" i="17"/>
  <c r="E82" i="17"/>
  <c r="G82" i="17"/>
  <c r="I82" i="17"/>
  <c r="K82" i="17"/>
  <c r="M82" i="17"/>
  <c r="O82" i="17"/>
  <c r="Q82" i="17"/>
  <c r="F58" i="19"/>
  <c r="E82" i="16" s="1"/>
  <c r="H58" i="19"/>
  <c r="G82" i="16" s="1"/>
  <c r="J58" i="19"/>
  <c r="I82" i="16" s="1"/>
  <c r="L58" i="19"/>
  <c r="K82" i="16" s="1"/>
  <c r="N58" i="19"/>
  <c r="M82" i="16" s="1"/>
  <c r="P58" i="19"/>
  <c r="O82" i="16" s="1"/>
  <c r="R58" i="19"/>
  <c r="Q82" i="16" s="1"/>
  <c r="D58" i="19"/>
  <c r="C82" i="16" s="1"/>
  <c r="U69" i="17" l="1"/>
  <c r="U47" i="17"/>
  <c r="U29" i="17"/>
  <c r="D24" i="15"/>
  <c r="U45" i="16"/>
  <c r="U45" i="17"/>
  <c r="D51" i="15"/>
  <c r="U53" i="16"/>
  <c r="AI23" i="29" l="1"/>
  <c r="V57" i="20"/>
  <c r="V67" i="21"/>
  <c r="V51" i="20"/>
  <c r="V38" i="21"/>
  <c r="V32" i="18"/>
  <c r="D33" i="15" s="1"/>
  <c r="V81" i="18"/>
  <c r="V27" i="20"/>
  <c r="V27" i="19" s="1"/>
  <c r="H35" i="15" s="1"/>
  <c r="V65" i="20"/>
  <c r="U89" i="17" s="1"/>
  <c r="T26" i="27"/>
  <c r="F27" i="5" s="1"/>
  <c r="T32" i="29"/>
  <c r="F33" i="6" s="1"/>
  <c r="V67" i="20"/>
  <c r="V72" i="21"/>
  <c r="T24" i="29"/>
  <c r="F25" i="6" s="1"/>
  <c r="V29" i="21"/>
  <c r="V92" i="18"/>
  <c r="V43" i="20"/>
  <c r="T36" i="22"/>
  <c r="AL46" i="20"/>
  <c r="V24" i="21"/>
  <c r="V46" i="19" s="1"/>
  <c r="U69" i="16" s="1"/>
  <c r="V97" i="20"/>
  <c r="H33" i="3" s="1"/>
  <c r="T39" i="22"/>
  <c r="V72" i="18"/>
  <c r="V74" i="20"/>
  <c r="U98" i="17" s="1"/>
  <c r="V47" i="21"/>
  <c r="V76" i="20"/>
  <c r="U100" i="17" s="1"/>
  <c r="V66" i="20"/>
  <c r="V34" i="20"/>
  <c r="V34" i="19" s="1"/>
  <c r="H45" i="15" s="1"/>
  <c r="V115" i="18"/>
  <c r="V21" i="20"/>
  <c r="V21" i="19" s="1"/>
  <c r="H29" i="15" s="1"/>
  <c r="V65" i="21"/>
  <c r="V31" i="20"/>
  <c r="V90" i="20"/>
  <c r="H26" i="3" s="1"/>
  <c r="AG114" i="19"/>
  <c r="V19" i="18"/>
  <c r="U23" i="16" s="1"/>
  <c r="V83" i="18"/>
  <c r="V31" i="18"/>
  <c r="D32" i="15" s="1"/>
  <c r="V21" i="21"/>
  <c r="V53" i="20"/>
  <c r="V54" i="20"/>
  <c r="V98" i="20"/>
  <c r="H34" i="3" s="1"/>
  <c r="V41" i="18"/>
  <c r="D43" i="15" s="1"/>
  <c r="V73" i="21"/>
  <c r="V69" i="18"/>
  <c r="V64" i="20"/>
  <c r="V25" i="20"/>
  <c r="V25" i="19" s="1"/>
  <c r="H33" i="15" s="1"/>
  <c r="V68" i="18"/>
  <c r="V32" i="21"/>
  <c r="V36" i="21"/>
  <c r="V27" i="21"/>
  <c r="V86" i="18"/>
  <c r="V76" i="21"/>
  <c r="V105" i="19" s="1"/>
  <c r="H40" i="2" s="1"/>
  <c r="V72" i="20"/>
  <c r="V47" i="18"/>
  <c r="D50" i="15" s="1"/>
  <c r="V85" i="21"/>
  <c r="V114" i="19" s="1"/>
  <c r="H49" i="2" s="1"/>
  <c r="V63" i="20"/>
  <c r="U87" i="17" s="1"/>
  <c r="V31" i="21"/>
  <c r="V19" i="21"/>
  <c r="V61" i="21"/>
  <c r="V24" i="20"/>
  <c r="V24" i="19" s="1"/>
  <c r="H32" i="15" s="1"/>
  <c r="V49" i="21"/>
  <c r="V83" i="20"/>
  <c r="H20" i="3" s="1"/>
  <c r="T17" i="27"/>
  <c r="F18" i="5" s="1"/>
  <c r="V59" i="20"/>
  <c r="V28" i="21"/>
  <c r="V41" i="20"/>
  <c r="T38" i="22"/>
  <c r="T40" i="22"/>
  <c r="U77" i="17" s="1"/>
  <c r="V23" i="18"/>
  <c r="V80" i="18"/>
  <c r="T41" i="22"/>
  <c r="V50" i="20"/>
  <c r="V104" i="20"/>
  <c r="H42" i="3" s="1"/>
  <c r="V105" i="18"/>
  <c r="D28" i="2" s="1"/>
  <c r="V62" i="21"/>
  <c r="V63" i="18"/>
  <c r="U68" i="17" s="1"/>
  <c r="AL50" i="25"/>
  <c r="U42" i="26"/>
  <c r="B36" i="5" s="1"/>
  <c r="V30" i="21"/>
  <c r="V71" i="20"/>
  <c r="V71" i="19" s="1"/>
  <c r="U95" i="16" s="1"/>
  <c r="V58" i="18"/>
  <c r="V44" i="20"/>
  <c r="V48" i="21"/>
  <c r="V21" i="18"/>
  <c r="V20" i="20"/>
  <c r="V20" i="19" s="1"/>
  <c r="H28" i="15" s="1"/>
  <c r="V35" i="18"/>
  <c r="U40" i="16" s="1"/>
  <c r="V73" i="20"/>
  <c r="V39" i="18"/>
  <c r="D41" i="15" s="1"/>
  <c r="AG115" i="19"/>
  <c r="V96" i="20"/>
  <c r="H32" i="3" s="1"/>
  <c r="V69" i="20"/>
  <c r="V26" i="21"/>
  <c r="V49" i="19" s="1"/>
  <c r="V67" i="18"/>
  <c r="V24" i="18"/>
  <c r="D23" i="15" s="1"/>
  <c r="T36" i="27"/>
  <c r="F35" i="5" s="1"/>
  <c r="V43" i="18"/>
  <c r="D45" i="15" s="1"/>
  <c r="V64" i="21"/>
  <c r="V129" i="18"/>
  <c r="V86" i="21"/>
  <c r="V115" i="19" s="1"/>
  <c r="H50" i="2" s="1"/>
  <c r="V78" i="18"/>
  <c r="T25" i="27"/>
  <c r="F26" i="5" s="1"/>
  <c r="V33" i="18"/>
  <c r="D34" i="15" s="1"/>
  <c r="V39" i="21"/>
  <c r="V95" i="18"/>
  <c r="D19" i="2" s="1"/>
  <c r="V22" i="20"/>
  <c r="V22" i="19" s="1"/>
  <c r="H30" i="15" s="1"/>
  <c r="V128" i="18"/>
  <c r="V75" i="18"/>
  <c r="V74" i="18"/>
  <c r="V71" i="18"/>
  <c r="V85" i="18"/>
  <c r="U41" i="26"/>
  <c r="B35" i="5" s="1"/>
  <c r="V30" i="18"/>
  <c r="D30" i="15" s="1"/>
  <c r="V106" i="18"/>
  <c r="D29" i="2" s="1"/>
  <c r="V37" i="21"/>
  <c r="V66" i="18"/>
  <c r="V38" i="18"/>
  <c r="D40" i="15" s="1"/>
  <c r="V42" i="21"/>
  <c r="V103" i="18"/>
  <c r="D26" i="2" s="1"/>
  <c r="V66" i="21"/>
  <c r="V51" i="18"/>
  <c r="U56" i="16" s="1"/>
  <c r="V33" i="20"/>
  <c r="V33" i="19" s="1"/>
  <c r="H43" i="15" s="1"/>
  <c r="V43" i="21"/>
  <c r="V44" i="21"/>
  <c r="V130" i="18"/>
  <c r="V78" i="20"/>
  <c r="U102" i="17" s="1"/>
  <c r="V70" i="18"/>
  <c r="T23" i="29"/>
  <c r="F24" i="6" s="1"/>
  <c r="V77" i="20"/>
  <c r="V77" i="19" s="1"/>
  <c r="U101" i="16" s="1"/>
  <c r="V90" i="18"/>
  <c r="V35" i="21"/>
  <c r="T35" i="22"/>
  <c r="V75" i="20"/>
  <c r="V75" i="19" s="1"/>
  <c r="V126" i="18"/>
  <c r="V45" i="21"/>
  <c r="V49" i="18"/>
  <c r="D52" i="15" s="1"/>
  <c r="V93" i="20"/>
  <c r="H29" i="3" s="1"/>
  <c r="W38" i="25"/>
  <c r="V95" i="20"/>
  <c r="H31" i="3" s="1"/>
  <c r="V51" i="21"/>
  <c r="V101" i="18"/>
  <c r="D24" i="2" s="1"/>
  <c r="T44" i="22"/>
  <c r="V101" i="20"/>
  <c r="H37" i="3" s="1"/>
  <c r="V61" i="20"/>
  <c r="V84" i="18"/>
  <c r="V23" i="21"/>
  <c r="V45" i="19" s="1"/>
  <c r="V46" i="18"/>
  <c r="D49" i="15" s="1"/>
  <c r="T45" i="22"/>
  <c r="V69" i="21"/>
  <c r="V107" i="18"/>
  <c r="D30" i="2" s="1"/>
  <c r="V68" i="21"/>
  <c r="V73" i="18"/>
  <c r="V102" i="18"/>
  <c r="D25" i="2" s="1"/>
  <c r="T37" i="22"/>
  <c r="V56" i="20"/>
  <c r="V125" i="18"/>
  <c r="V52" i="20"/>
  <c r="V52" i="19" s="1"/>
  <c r="V22" i="21"/>
  <c r="V94" i="20"/>
  <c r="H30" i="3" s="1"/>
  <c r="V89" i="20"/>
  <c r="H25" i="3" s="1"/>
  <c r="V80" i="20"/>
  <c r="U104" i="17" s="1"/>
  <c r="T31" i="29"/>
  <c r="F32" i="6" s="1"/>
  <c r="V60" i="20"/>
  <c r="V54" i="21"/>
  <c r="V26" i="20"/>
  <c r="V26" i="19" s="1"/>
  <c r="H34" i="15" s="1"/>
  <c r="V60" i="21"/>
  <c r="V33" i="21"/>
  <c r="V48" i="20"/>
  <c r="V110" i="18"/>
  <c r="D33" i="2" s="1"/>
  <c r="V77" i="18"/>
  <c r="V102" i="20"/>
  <c r="H38" i="3" s="1"/>
  <c r="V61" i="18"/>
  <c r="V59" i="18"/>
  <c r="U64" i="17" s="1"/>
  <c r="AI15" i="23"/>
  <c r="T37" i="27"/>
  <c r="F36" i="5" s="1"/>
  <c r="V34" i="18"/>
  <c r="D35" i="15" s="1"/>
  <c r="V30" i="20"/>
  <c r="V30" i="19" s="1"/>
  <c r="H40" i="15" s="1"/>
  <c r="V62" i="18"/>
  <c r="U67" i="17" s="1"/>
  <c r="V23" i="20"/>
  <c r="V50" i="21"/>
  <c r="V88" i="18"/>
  <c r="U99" i="17" s="1"/>
  <c r="V20" i="18"/>
  <c r="V77" i="21"/>
  <c r="T33" i="22"/>
  <c r="V29" i="18"/>
  <c r="D29" i="15" s="1"/>
  <c r="V91" i="20"/>
  <c r="H27" i="3" s="1"/>
  <c r="V18" i="18"/>
  <c r="D17" i="15" s="1"/>
  <c r="V79" i="20"/>
  <c r="V74" i="21"/>
  <c r="V103" i="19" s="1"/>
  <c r="H38" i="2" s="1"/>
  <c r="V41" i="21"/>
  <c r="U47" i="16"/>
  <c r="U34" i="17"/>
  <c r="V67" i="19"/>
  <c r="V90" i="19"/>
  <c r="H25" i="2" s="1"/>
  <c r="U85" i="17"/>
  <c r="V89" i="19"/>
  <c r="H24" i="2" s="1"/>
  <c r="V51" i="19"/>
  <c r="U75" i="16" s="1"/>
  <c r="U120" i="17"/>
  <c r="U46" i="17"/>
  <c r="V73" i="19"/>
  <c r="V66" i="19"/>
  <c r="U75" i="17"/>
  <c r="U130" i="17"/>
  <c r="V101" i="19"/>
  <c r="H36" i="2" s="1"/>
  <c r="V98" i="19"/>
  <c r="H33" i="2" s="1"/>
  <c r="U78" i="17"/>
  <c r="U28" i="17"/>
  <c r="V102" i="19"/>
  <c r="H37" i="2" s="1"/>
  <c r="V43" i="19"/>
  <c r="V117" i="19"/>
  <c r="U71" i="17"/>
  <c r="V106" i="19"/>
  <c r="H41" i="2" s="1"/>
  <c r="U46" i="16"/>
  <c r="V44" i="19"/>
  <c r="U67" i="16" s="1"/>
  <c r="V53" i="19"/>
  <c r="U28" i="16"/>
  <c r="V50" i="19"/>
  <c r="U115" i="17"/>
  <c r="U37" i="16"/>
  <c r="V65" i="19"/>
  <c r="U89" i="16" s="1"/>
  <c r="U96" i="17"/>
  <c r="V91" i="19"/>
  <c r="H26" i="2" s="1"/>
  <c r="U56" i="17"/>
  <c r="V60" i="19"/>
  <c r="D54" i="15"/>
  <c r="V63" i="19"/>
  <c r="V72" i="19"/>
  <c r="U66" i="17"/>
  <c r="V78" i="19"/>
  <c r="U32" i="17"/>
  <c r="V64" i="19"/>
  <c r="U118" i="17"/>
  <c r="V61" i="19"/>
  <c r="U119" i="17"/>
  <c r="U125" i="17"/>
  <c r="V54" i="19"/>
  <c r="U24" i="17"/>
  <c r="U63" i="17"/>
  <c r="U97" i="17"/>
  <c r="U52" i="17"/>
  <c r="U34" i="16"/>
  <c r="U74" i="17"/>
  <c r="U121" i="17"/>
  <c r="U25" i="16"/>
  <c r="U22" i="16"/>
  <c r="V99" i="20"/>
  <c r="V106" i="20" s="1"/>
  <c r="U54" i="17"/>
  <c r="D36" i="15"/>
  <c r="U68" i="16"/>
  <c r="U36" i="17"/>
  <c r="U22" i="17"/>
  <c r="U52" i="16"/>
  <c r="V97" i="19"/>
  <c r="H32" i="2" s="1"/>
  <c r="U40" i="17"/>
  <c r="U71" i="16"/>
  <c r="V76" i="19"/>
  <c r="V83" i="19"/>
  <c r="H19" i="2" s="1"/>
  <c r="U90" i="17"/>
  <c r="U101" i="17"/>
  <c r="U126" i="17"/>
  <c r="U32" i="16"/>
  <c r="V41" i="19"/>
  <c r="U63" i="16" s="1"/>
  <c r="V70" i="20"/>
  <c r="V70" i="19" s="1"/>
  <c r="V127" i="18"/>
  <c r="U138" i="17" s="1"/>
  <c r="U95" i="17"/>
  <c r="U91" i="17"/>
  <c r="U48" i="17"/>
  <c r="U114" i="17"/>
  <c r="U37" i="17"/>
  <c r="U23" i="17"/>
  <c r="V96" i="19"/>
  <c r="H31" i="2" s="1"/>
  <c r="U51" i="17"/>
  <c r="U51" i="16"/>
  <c r="D18" i="15"/>
  <c r="V74" i="19"/>
  <c r="U98" i="16" s="1"/>
  <c r="V94" i="19"/>
  <c r="H29" i="2" s="1"/>
  <c r="V131" i="18"/>
  <c r="V81" i="20"/>
  <c r="AE82" i="17"/>
  <c r="AJ82" i="17" s="1"/>
  <c r="AG58" i="19"/>
  <c r="AL58" i="20"/>
  <c r="AJ58" i="20"/>
  <c r="U39" i="17" l="1"/>
  <c r="U129" i="16"/>
  <c r="U84" i="17"/>
  <c r="V79" i="19"/>
  <c r="U76" i="17"/>
  <c r="U43" i="17"/>
  <c r="U117" i="17"/>
  <c r="V93" i="19"/>
  <c r="H28" i="2" s="1"/>
  <c r="U39" i="16"/>
  <c r="D50" i="2"/>
  <c r="U94" i="16"/>
  <c r="U113" i="17"/>
  <c r="U103" i="17"/>
  <c r="U107" i="17"/>
  <c r="U88" i="16"/>
  <c r="U74" i="16"/>
  <c r="U25" i="17"/>
  <c r="D20" i="15"/>
  <c r="U83" i="17"/>
  <c r="V59" i="19"/>
  <c r="U83" i="16" s="1"/>
  <c r="U93" i="17"/>
  <c r="V31" i="19"/>
  <c r="H41" i="15" s="1"/>
  <c r="U44" i="17"/>
  <c r="U122" i="17"/>
  <c r="V48" i="19"/>
  <c r="U72" i="16" s="1"/>
  <c r="U72" i="17"/>
  <c r="V80" i="19"/>
  <c r="U104" i="16" s="1"/>
  <c r="V95" i="19"/>
  <c r="H30" i="2" s="1"/>
  <c r="V69" i="19"/>
  <c r="U33" i="17"/>
  <c r="U41" i="17" s="1"/>
  <c r="U38" i="17"/>
  <c r="V23" i="19"/>
  <c r="U35" i="17"/>
  <c r="U80" i="17"/>
  <c r="V56" i="19"/>
  <c r="U80" i="16" s="1"/>
  <c r="U73" i="17"/>
  <c r="V57" i="19"/>
  <c r="U81" i="16" s="1"/>
  <c r="U81" i="17"/>
  <c r="D19" i="15"/>
  <c r="U24" i="16"/>
  <c r="D22" i="15"/>
  <c r="U27" i="17"/>
  <c r="U27" i="16"/>
  <c r="U88" i="17"/>
  <c r="D38" i="2"/>
  <c r="U127" i="17"/>
  <c r="D49" i="2"/>
  <c r="U57" i="17"/>
  <c r="U26" i="17"/>
  <c r="U123" i="17"/>
  <c r="U132" i="17" s="1"/>
  <c r="U26" i="16"/>
  <c r="U94" i="17"/>
  <c r="U105" i="17" s="1"/>
  <c r="U139" i="17"/>
  <c r="U141" i="17" s="1"/>
  <c r="AL58" i="19"/>
  <c r="AE82" i="16"/>
  <c r="AJ82" i="16" s="1"/>
  <c r="S82" i="17"/>
  <c r="AB82" i="17" s="1"/>
  <c r="T58" i="19"/>
  <c r="U30" i="17" l="1"/>
  <c r="V99" i="19"/>
  <c r="V108" i="19" s="1"/>
  <c r="U49" i="17"/>
  <c r="U59" i="17" s="1"/>
  <c r="U109" i="17" s="1"/>
  <c r="U135" i="17" s="1"/>
  <c r="U145" i="17" s="1"/>
  <c r="U30" i="16"/>
  <c r="H31" i="15"/>
  <c r="U35" i="16"/>
  <c r="AD58" i="19"/>
  <c r="AJ58" i="19" s="1"/>
  <c r="S82" i="16"/>
  <c r="AB82" i="16" s="1"/>
  <c r="AH82" i="16" s="1"/>
  <c r="O92" i="23"/>
  <c r="M92" i="23"/>
  <c r="K92" i="23"/>
  <c r="I92" i="23"/>
  <c r="G92" i="23"/>
  <c r="E92" i="23"/>
  <c r="Q92" i="23"/>
  <c r="S92" i="23"/>
  <c r="W59" i="25" l="1"/>
  <c r="W58" i="24"/>
  <c r="C47" i="16" l="1"/>
  <c r="C47" i="17"/>
  <c r="X23" i="22"/>
  <c r="V23" i="22"/>
  <c r="T23" i="22"/>
  <c r="L16" i="2" s="1"/>
  <c r="P23" i="22"/>
  <c r="N23" i="22"/>
  <c r="L23" i="22"/>
  <c r="J23" i="22"/>
  <c r="H23" i="22"/>
  <c r="F23" i="22"/>
  <c r="D23" i="22"/>
  <c r="B23" i="22"/>
  <c r="Q47" i="17"/>
  <c r="O47" i="17"/>
  <c r="M47" i="17"/>
  <c r="K47" i="17"/>
  <c r="I47" i="17"/>
  <c r="G47" i="17"/>
  <c r="E47" i="17"/>
  <c r="Q47" i="16"/>
  <c r="O47" i="16"/>
  <c r="M47" i="16"/>
  <c r="K47" i="16"/>
  <c r="I47" i="16"/>
  <c r="G47" i="16"/>
  <c r="E47" i="16"/>
  <c r="AA23" i="22" l="1"/>
  <c r="N16" i="2" s="1"/>
  <c r="N17" i="3" s="1"/>
  <c r="AI22" i="22"/>
  <c r="N44" i="15"/>
  <c r="AD23" i="22"/>
  <c r="AI23" i="22" s="1"/>
  <c r="AG22" i="22"/>
  <c r="S20" i="23"/>
  <c r="W65" i="25" l="1"/>
  <c r="W64" i="25"/>
  <c r="W62" i="25"/>
  <c r="W80" i="24"/>
  <c r="W20" i="24"/>
  <c r="W21" i="23" s="1"/>
  <c r="W82" i="24"/>
  <c r="W81" i="24"/>
  <c r="W40" i="24"/>
  <c r="W42" i="24"/>
  <c r="W83" i="24"/>
  <c r="W19" i="24"/>
  <c r="W20" i="23" s="1"/>
  <c r="P29" i="15" s="1"/>
  <c r="AK42" i="18"/>
  <c r="G22" i="12"/>
  <c r="R23" i="22"/>
  <c r="L17" i="3" s="1"/>
  <c r="L46" i="15"/>
  <c r="AE47" i="17"/>
  <c r="AJ47" i="17" s="1"/>
  <c r="AE47" i="16"/>
  <c r="AG23" i="22"/>
  <c r="F44" i="15"/>
  <c r="X44" i="15" s="1"/>
  <c r="AI42" i="18"/>
  <c r="K89" i="30"/>
  <c r="J43" i="40"/>
  <c r="J35" i="40"/>
  <c r="J22" i="40"/>
  <c r="J16" i="40"/>
  <c r="L15" i="39"/>
  <c r="I47" i="39"/>
  <c r="I38" i="39"/>
  <c r="I28" i="39"/>
  <c r="I22" i="39"/>
  <c r="U36" i="16" l="1"/>
  <c r="P32" i="15"/>
  <c r="W84" i="23"/>
  <c r="W83" i="23"/>
  <c r="W81" i="23"/>
  <c r="U33" i="16"/>
  <c r="AD44" i="15"/>
  <c r="AJ44" i="15" s="1"/>
  <c r="AJ47" i="16"/>
  <c r="V44" i="15"/>
  <c r="S47" i="16"/>
  <c r="AB47" i="16" s="1"/>
  <c r="AH47" i="16" s="1"/>
  <c r="S47" i="17"/>
  <c r="AB47" i="17" s="1"/>
  <c r="U21" i="23"/>
  <c r="T30" i="19"/>
  <c r="T32" i="19"/>
  <c r="I30" i="39"/>
  <c r="I50" i="39" s="1"/>
  <c r="J24" i="40"/>
  <c r="J46" i="40" s="1"/>
  <c r="I12" i="44"/>
  <c r="U125" i="16" l="1"/>
  <c r="P36" i="2"/>
  <c r="U127" i="16"/>
  <c r="P38" i="2"/>
  <c r="U130" i="16"/>
  <c r="P41" i="2"/>
  <c r="U83" i="23"/>
  <c r="U84" i="23"/>
  <c r="U81" i="23"/>
  <c r="T31" i="19"/>
  <c r="U20" i="23" l="1"/>
  <c r="T21" i="19"/>
  <c r="O130" i="17"/>
  <c r="O129" i="17"/>
  <c r="O127" i="17"/>
  <c r="O126" i="17"/>
  <c r="O125" i="17"/>
  <c r="O139" i="17"/>
  <c r="O138" i="17"/>
  <c r="O122" i="17"/>
  <c r="O121" i="17"/>
  <c r="O120" i="17"/>
  <c r="O119" i="17"/>
  <c r="O118" i="17"/>
  <c r="O117" i="17"/>
  <c r="O115" i="17"/>
  <c r="O114" i="17"/>
  <c r="O113" i="17"/>
  <c r="O107" i="17"/>
  <c r="O104" i="17"/>
  <c r="O103" i="17"/>
  <c r="O102" i="17"/>
  <c r="O101" i="17"/>
  <c r="O100" i="17"/>
  <c r="O99" i="17"/>
  <c r="O98" i="17"/>
  <c r="O97" i="17"/>
  <c r="O96" i="17"/>
  <c r="O94" i="17"/>
  <c r="O93" i="17"/>
  <c r="O91" i="17"/>
  <c r="O90" i="17"/>
  <c r="O89" i="17"/>
  <c r="O88" i="17"/>
  <c r="O87" i="17"/>
  <c r="O85" i="17"/>
  <c r="O84" i="17"/>
  <c r="O83" i="17"/>
  <c r="O81" i="17"/>
  <c r="O80" i="17"/>
  <c r="O78" i="17"/>
  <c r="O77" i="17"/>
  <c r="O76" i="17"/>
  <c r="O75" i="17"/>
  <c r="O74" i="17"/>
  <c r="O73" i="17"/>
  <c r="O72" i="17"/>
  <c r="O71" i="17"/>
  <c r="O69" i="17"/>
  <c r="O68" i="17"/>
  <c r="O67" i="17"/>
  <c r="O66" i="17"/>
  <c r="O64" i="17"/>
  <c r="O63" i="17"/>
  <c r="O56" i="17"/>
  <c r="O55" i="17"/>
  <c r="O54" i="17"/>
  <c r="O53" i="17"/>
  <c r="O52" i="17"/>
  <c r="O51" i="17"/>
  <c r="O48" i="17"/>
  <c r="O46" i="17"/>
  <c r="O45" i="17"/>
  <c r="O44" i="17"/>
  <c r="O43" i="17"/>
  <c r="O40" i="17"/>
  <c r="O38" i="17"/>
  <c r="O37" i="17"/>
  <c r="O36" i="17"/>
  <c r="O35" i="17"/>
  <c r="O34" i="17"/>
  <c r="O33" i="17"/>
  <c r="O32" i="17"/>
  <c r="O29" i="17"/>
  <c r="O28" i="17"/>
  <c r="O27" i="17"/>
  <c r="O25" i="17"/>
  <c r="O24" i="17"/>
  <c r="O23" i="17"/>
  <c r="O22" i="17"/>
  <c r="O21" i="17"/>
  <c r="O71" i="16" l="1"/>
  <c r="O56" i="16"/>
  <c r="O55" i="16"/>
  <c r="O53" i="16"/>
  <c r="O52" i="16"/>
  <c r="O51" i="16"/>
  <c r="O40" i="16"/>
  <c r="O29" i="16"/>
  <c r="O28" i="16"/>
  <c r="O25" i="16"/>
  <c r="O24" i="16"/>
  <c r="O23" i="16"/>
  <c r="O22" i="16"/>
  <c r="O21" i="16"/>
  <c r="S55" i="17" l="1"/>
  <c r="S55" i="16"/>
  <c r="Q21" i="16"/>
  <c r="Q23" i="16"/>
  <c r="Q25" i="16"/>
  <c r="Q24" i="16"/>
  <c r="Q29" i="16"/>
  <c r="S60" i="23"/>
  <c r="S37" i="23"/>
  <c r="S84" i="23"/>
  <c r="S26" i="23"/>
  <c r="S39" i="23"/>
  <c r="S44" i="23"/>
  <c r="S49" i="23"/>
  <c r="S54" i="23"/>
  <c r="S58" i="23"/>
  <c r="S69" i="23"/>
  <c r="S74" i="23"/>
  <c r="S78" i="23"/>
  <c r="S51" i="23"/>
  <c r="S83" i="23"/>
  <c r="S46" i="23"/>
  <c r="S25" i="23"/>
  <c r="S21" i="23"/>
  <c r="S27" i="23"/>
  <c r="S41" i="23"/>
  <c r="S45" i="23"/>
  <c r="S50" i="23"/>
  <c r="S55" i="23"/>
  <c r="S59" i="23"/>
  <c r="S70" i="23"/>
  <c r="S75" i="23"/>
  <c r="S81" i="23"/>
  <c r="S22" i="23"/>
  <c r="S71" i="23"/>
  <c r="S93" i="23"/>
  <c r="S42" i="23"/>
  <c r="S76" i="23"/>
  <c r="S82" i="23"/>
  <c r="S30" i="23"/>
  <c r="S94" i="23"/>
  <c r="S56" i="23"/>
  <c r="S43" i="23"/>
  <c r="S47" i="23"/>
  <c r="S52" i="23"/>
  <c r="S57" i="23"/>
  <c r="S63" i="23"/>
  <c r="S73" i="23"/>
  <c r="S77" i="23"/>
  <c r="R105" i="19"/>
  <c r="R23" i="19"/>
  <c r="R33" i="19"/>
  <c r="R20" i="19"/>
  <c r="R24" i="19"/>
  <c r="R30" i="19"/>
  <c r="R34" i="19"/>
  <c r="R21" i="19"/>
  <c r="Q33" i="16" s="1"/>
  <c r="R25" i="19"/>
  <c r="R31" i="19"/>
  <c r="R71" i="19"/>
  <c r="R27" i="19"/>
  <c r="R22" i="19"/>
  <c r="R26" i="19"/>
  <c r="R32" i="19"/>
  <c r="R72" i="19"/>
  <c r="R76" i="19"/>
  <c r="R102" i="19"/>
  <c r="Q53" i="16"/>
  <c r="Q51" i="16"/>
  <c r="Q55" i="16"/>
  <c r="Q40" i="16"/>
  <c r="R44" i="19" l="1"/>
  <c r="Q67" i="16" s="1"/>
  <c r="R91" i="19"/>
  <c r="Q126" i="16"/>
  <c r="Q46" i="16"/>
  <c r="Q71" i="16"/>
  <c r="Q29" i="17"/>
  <c r="Q39" i="16"/>
  <c r="Q37" i="16"/>
  <c r="Q44" i="16"/>
  <c r="Q38" i="16"/>
  <c r="Q64" i="16"/>
  <c r="Q54" i="16"/>
  <c r="Q36" i="16"/>
  <c r="Q32" i="16"/>
  <c r="Q56" i="16"/>
  <c r="Q35" i="16"/>
  <c r="Q100" i="16"/>
  <c r="Q52" i="17"/>
  <c r="Q52" i="16"/>
  <c r="Q96" i="16"/>
  <c r="Q45" i="16"/>
  <c r="Q22" i="16"/>
  <c r="Q34" i="16"/>
  <c r="Q48" i="16"/>
  <c r="Q28" i="16"/>
  <c r="Q43" i="16"/>
  <c r="R97" i="19"/>
  <c r="R79" i="19"/>
  <c r="Q103" i="16" s="1"/>
  <c r="R63" i="19"/>
  <c r="Q87" i="16" s="1"/>
  <c r="R69" i="19"/>
  <c r="Q93" i="16" s="1"/>
  <c r="R52" i="19"/>
  <c r="Q76" i="16" s="1"/>
  <c r="R89" i="19"/>
  <c r="R103" i="19"/>
  <c r="Q22" i="17"/>
  <c r="Q34" i="17"/>
  <c r="R65" i="19"/>
  <c r="Q89" i="16" s="1"/>
  <c r="R50" i="19"/>
  <c r="Q74" i="16" s="1"/>
  <c r="R49" i="19"/>
  <c r="Q73" i="16" s="1"/>
  <c r="R77" i="19"/>
  <c r="Q101" i="16" s="1"/>
  <c r="Q125" i="17"/>
  <c r="Q54" i="17"/>
  <c r="Q35" i="17"/>
  <c r="Q43" i="17"/>
  <c r="Q27" i="17"/>
  <c r="Q84" i="17"/>
  <c r="Q113" i="17"/>
  <c r="Q97" i="17"/>
  <c r="Q102" i="17"/>
  <c r="R61" i="19"/>
  <c r="Q85" i="16" s="1"/>
  <c r="Q39" i="17"/>
  <c r="R98" i="19"/>
  <c r="Q90" i="17"/>
  <c r="R90" i="19"/>
  <c r="R78" i="19"/>
  <c r="Q102" i="16" s="1"/>
  <c r="Q107" i="17"/>
  <c r="Q115" i="17"/>
  <c r="R66" i="19"/>
  <c r="Q90" i="16" s="1"/>
  <c r="R60" i="19"/>
  <c r="Q84" i="16" s="1"/>
  <c r="R17" i="19"/>
  <c r="Q27" i="16" s="1"/>
  <c r="Q93" i="17"/>
  <c r="Q63" i="17"/>
  <c r="Q101" i="17"/>
  <c r="R101" i="19"/>
  <c r="Q32" i="17"/>
  <c r="R51" i="19"/>
  <c r="Q75" i="16" s="1"/>
  <c r="R45" i="19"/>
  <c r="Q68" i="16" s="1"/>
  <c r="R67" i="19"/>
  <c r="Q91" i="16" s="1"/>
  <c r="Q44" i="17"/>
  <c r="R43" i="19"/>
  <c r="Q66" i="16" s="1"/>
  <c r="Q73" i="17"/>
  <c r="Q28" i="17"/>
  <c r="R75" i="19"/>
  <c r="Q99" i="16" s="1"/>
  <c r="R74" i="19"/>
  <c r="Q98" i="16" s="1"/>
  <c r="R64" i="19"/>
  <c r="Q88" i="16" s="1"/>
  <c r="R73" i="19"/>
  <c r="Q97" i="16" s="1"/>
  <c r="R54" i="19"/>
  <c r="Q78" i="16" s="1"/>
  <c r="R53" i="19"/>
  <c r="Q77" i="16" s="1"/>
  <c r="R46" i="19"/>
  <c r="Q69" i="16" s="1"/>
  <c r="R83" i="19"/>
  <c r="R41" i="19"/>
  <c r="Q63" i="16" s="1"/>
  <c r="R70" i="19"/>
  <c r="Q94" i="16" s="1"/>
  <c r="Q103" i="17"/>
  <c r="R93" i="19"/>
  <c r="R57" i="19"/>
  <c r="Q81" i="16" s="1"/>
  <c r="Q81" i="17"/>
  <c r="R114" i="19"/>
  <c r="Q83" i="17"/>
  <c r="R59" i="19"/>
  <c r="Q83" i="16" s="1"/>
  <c r="Q104" i="17"/>
  <c r="R80" i="19"/>
  <c r="Q104" i="16" s="1"/>
  <c r="R94" i="19"/>
  <c r="Q87" i="17"/>
  <c r="R96" i="19"/>
  <c r="Q130" i="17"/>
  <c r="R106" i="19"/>
  <c r="Q72" i="17"/>
  <c r="R48" i="19"/>
  <c r="Q72" i="16" s="1"/>
  <c r="R95" i="19"/>
  <c r="Q119" i="16" s="1"/>
  <c r="Q80" i="17"/>
  <c r="R56" i="19"/>
  <c r="Q80" i="16" s="1"/>
  <c r="Q114" i="17"/>
  <c r="R115" i="19"/>
  <c r="Q96" i="17"/>
  <c r="Q51" i="17"/>
  <c r="Q40" i="17"/>
  <c r="Q85" i="17"/>
  <c r="Q66" i="17"/>
  <c r="Q36" i="17"/>
  <c r="Q98" i="17"/>
  <c r="Q48" i="17"/>
  <c r="Q127" i="17"/>
  <c r="Q76" i="17"/>
  <c r="Q55" i="17"/>
  <c r="Q24" i="17"/>
  <c r="Q77" i="17"/>
  <c r="Q121" i="17"/>
  <c r="Q23" i="17"/>
  <c r="Q99" i="17"/>
  <c r="Q88" i="17"/>
  <c r="Q37" i="17"/>
  <c r="Q122" i="17"/>
  <c r="Q117" i="17"/>
  <c r="Q67" i="17"/>
  <c r="Q78" i="17"/>
  <c r="Q118" i="17"/>
  <c r="Q68" i="17"/>
  <c r="Q56" i="17"/>
  <c r="Q89" i="17"/>
  <c r="Q38" i="17"/>
  <c r="Q74" i="17"/>
  <c r="Q25" i="17"/>
  <c r="Q100" i="17"/>
  <c r="Q33" i="17"/>
  <c r="Q119" i="17"/>
  <c r="Q69" i="17"/>
  <c r="Q53" i="17"/>
  <c r="Q45" i="17"/>
  <c r="Q75" i="17"/>
  <c r="Q64" i="17"/>
  <c r="Q46" i="17"/>
  <c r="Q120" i="17"/>
  <c r="Q71" i="17"/>
  <c r="Q91" i="17"/>
  <c r="Q21" i="17"/>
  <c r="Q115" i="16" l="1"/>
  <c r="Q130" i="16"/>
  <c r="Q127" i="16"/>
  <c r="Q125" i="16"/>
  <c r="Q139" i="17"/>
  <c r="Q121" i="16"/>
  <c r="Q122" i="16"/>
  <c r="Q114" i="16"/>
  <c r="Q120" i="16"/>
  <c r="Q113" i="16"/>
  <c r="Q107" i="16"/>
  <c r="Q118" i="16"/>
  <c r="Q117" i="16"/>
  <c r="Q94" i="17"/>
  <c r="Q138" i="17"/>
  <c r="E27" i="45" l="1"/>
  <c r="L21" i="43" l="1"/>
  <c r="Z21" i="43" s="1"/>
  <c r="L36" i="43"/>
  <c r="Z28" i="43"/>
  <c r="T33" i="19" l="1"/>
  <c r="T24" i="19"/>
  <c r="K21" i="17"/>
  <c r="K22" i="17"/>
  <c r="K23" i="17"/>
  <c r="K24" i="17"/>
  <c r="K25" i="17"/>
  <c r="A43" i="14" l="1"/>
  <c r="A43" i="13"/>
  <c r="A43" i="12"/>
  <c r="A45" i="11"/>
  <c r="A45" i="10"/>
  <c r="A53" i="9"/>
  <c r="A52" i="8"/>
  <c r="N32" i="19" l="1"/>
  <c r="H43" i="40"/>
  <c r="H35" i="40"/>
  <c r="H22" i="40"/>
  <c r="H16" i="40"/>
  <c r="G47" i="39"/>
  <c r="G38" i="39"/>
  <c r="G28" i="39"/>
  <c r="G22" i="39"/>
  <c r="O84" i="23" l="1"/>
  <c r="O81" i="23"/>
  <c r="O82" i="23"/>
  <c r="O83" i="23"/>
  <c r="G30" i="39"/>
  <c r="G50" i="39" s="1"/>
  <c r="H24" i="40"/>
  <c r="H46" i="40" s="1"/>
  <c r="M40" i="16" l="1"/>
  <c r="M40" i="17" l="1"/>
  <c r="E23" i="45"/>
  <c r="J23" i="43"/>
  <c r="N59" i="19" l="1"/>
  <c r="M83" i="16" s="1"/>
  <c r="M83" i="17"/>
  <c r="N115" i="19"/>
  <c r="K95" i="24"/>
  <c r="N54" i="19" l="1"/>
  <c r="K78" i="24"/>
  <c r="K85" i="24" s="1"/>
  <c r="K60" i="24"/>
  <c r="K30" i="24"/>
  <c r="K27" i="24"/>
  <c r="K22" i="24"/>
  <c r="S81" i="17" l="1"/>
  <c r="T57" i="19"/>
  <c r="S81" i="16" s="1"/>
  <c r="S43" i="17"/>
  <c r="M63" i="23"/>
  <c r="M78" i="23"/>
  <c r="M27" i="23"/>
  <c r="M45" i="23"/>
  <c r="M55" i="23"/>
  <c r="M70" i="23"/>
  <c r="M81" i="23"/>
  <c r="M69" i="23"/>
  <c r="M30" i="23"/>
  <c r="M46" i="23"/>
  <c r="M56" i="23"/>
  <c r="M71" i="23"/>
  <c r="M82" i="23"/>
  <c r="M26" i="23"/>
  <c r="M37" i="23"/>
  <c r="M47" i="23"/>
  <c r="M57" i="23"/>
  <c r="M73" i="23"/>
  <c r="M83" i="23"/>
  <c r="M54" i="23"/>
  <c r="M39" i="23"/>
  <c r="M49" i="23"/>
  <c r="M58" i="23"/>
  <c r="M74" i="23"/>
  <c r="M84" i="23"/>
  <c r="M21" i="23"/>
  <c r="M41" i="23"/>
  <c r="M50" i="23"/>
  <c r="M59" i="23"/>
  <c r="M75" i="23"/>
  <c r="M22" i="23"/>
  <c r="M42" i="23"/>
  <c r="M51" i="23"/>
  <c r="M60" i="23"/>
  <c r="M76" i="23"/>
  <c r="M93" i="23"/>
  <c r="M44" i="23"/>
  <c r="M25" i="23"/>
  <c r="M43" i="23"/>
  <c r="M52" i="23"/>
  <c r="M77" i="23"/>
  <c r="M94" i="23"/>
  <c r="M20" i="23"/>
  <c r="Q21" i="23" l="1"/>
  <c r="O20" i="23"/>
  <c r="M98" i="17"/>
  <c r="N105" i="19"/>
  <c r="M104" i="17"/>
  <c r="M25" i="16"/>
  <c r="M52" i="16"/>
  <c r="M89" i="17"/>
  <c r="N30" i="19"/>
  <c r="M120" i="17"/>
  <c r="N114" i="19"/>
  <c r="O70" i="23"/>
  <c r="N44" i="19"/>
  <c r="O26" i="23"/>
  <c r="M101" i="17"/>
  <c r="N83" i="19"/>
  <c r="O25" i="23"/>
  <c r="M117" i="17"/>
  <c r="M115" i="17"/>
  <c r="N26" i="19"/>
  <c r="M53" i="16"/>
  <c r="O30" i="23"/>
  <c r="O31" i="23" s="1"/>
  <c r="O45" i="23"/>
  <c r="N71" i="19"/>
  <c r="N27" i="19"/>
  <c r="M87" i="17"/>
  <c r="N22" i="19"/>
  <c r="M67" i="17"/>
  <c r="M97" i="17"/>
  <c r="M78" i="17"/>
  <c r="N31" i="19"/>
  <c r="N34" i="19"/>
  <c r="O60" i="23"/>
  <c r="O59" i="23"/>
  <c r="N25" i="19"/>
  <c r="M113" i="17"/>
  <c r="N20" i="19"/>
  <c r="M56" i="17"/>
  <c r="M72" i="17"/>
  <c r="O57" i="23"/>
  <c r="O21" i="23"/>
  <c r="O27" i="23"/>
  <c r="M102" i="17"/>
  <c r="M29" i="17"/>
  <c r="N60" i="19"/>
  <c r="M81" i="17"/>
  <c r="N33" i="19"/>
  <c r="M64" i="17"/>
  <c r="N21" i="19"/>
  <c r="N56" i="19"/>
  <c r="M80" i="16" s="1"/>
  <c r="N23" i="19"/>
  <c r="N24" i="19"/>
  <c r="O22" i="23"/>
  <c r="N17" i="19"/>
  <c r="M45" i="16"/>
  <c r="M23" i="17"/>
  <c r="M23" i="16"/>
  <c r="M61" i="23"/>
  <c r="M79" i="23"/>
  <c r="M86" i="23" s="1"/>
  <c r="M96" i="23"/>
  <c r="M31" i="23"/>
  <c r="M28" i="23"/>
  <c r="M23" i="23"/>
  <c r="T23" i="28" l="1"/>
  <c r="B24" i="6" s="1"/>
  <c r="T22" i="28"/>
  <c r="B23" i="6" s="1"/>
  <c r="T24" i="28"/>
  <c r="B25" i="6" s="1"/>
  <c r="T31" i="28"/>
  <c r="B32" i="6" s="1"/>
  <c r="T32" i="28"/>
  <c r="B33" i="6" s="1"/>
  <c r="W31" i="25"/>
  <c r="W33" i="25"/>
  <c r="W51" i="25"/>
  <c r="W52" i="25"/>
  <c r="W56" i="25"/>
  <c r="W25" i="25"/>
  <c r="W43" i="23" s="1"/>
  <c r="U76" i="16" s="1"/>
  <c r="W58" i="25"/>
  <c r="W23" i="25"/>
  <c r="W41" i="23" s="1"/>
  <c r="U73" i="16" s="1"/>
  <c r="W73" i="25"/>
  <c r="W19" i="25"/>
  <c r="W26" i="25"/>
  <c r="W55" i="25"/>
  <c r="W37" i="25"/>
  <c r="W54" i="25"/>
  <c r="W32" i="25"/>
  <c r="W44" i="25"/>
  <c r="W41" i="25"/>
  <c r="W63" i="25"/>
  <c r="W82" i="23" s="1"/>
  <c r="W28" i="25"/>
  <c r="W50" i="25"/>
  <c r="W40" i="25"/>
  <c r="W59" i="23" s="1"/>
  <c r="U102" i="16" s="1"/>
  <c r="W36" i="25"/>
  <c r="W27" i="25"/>
  <c r="W34" i="25"/>
  <c r="W21" i="25"/>
  <c r="W74" i="25"/>
  <c r="W57" i="25"/>
  <c r="W39" i="25"/>
  <c r="W29" i="25"/>
  <c r="W24" i="25"/>
  <c r="W46" i="24"/>
  <c r="W49" i="24"/>
  <c r="W73" i="24"/>
  <c r="W29" i="24"/>
  <c r="W30" i="23" s="1"/>
  <c r="P52" i="15" s="1"/>
  <c r="W44" i="24"/>
  <c r="W24" i="24"/>
  <c r="W25" i="23" s="1"/>
  <c r="W74" i="24"/>
  <c r="W55" i="24"/>
  <c r="W68" i="24"/>
  <c r="W69" i="24"/>
  <c r="W72" i="24"/>
  <c r="W56" i="24"/>
  <c r="W57" i="23" s="1"/>
  <c r="U99" i="16" s="1"/>
  <c r="W93" i="24"/>
  <c r="W26" i="24"/>
  <c r="W27" i="23" s="1"/>
  <c r="W59" i="24"/>
  <c r="W62" i="24"/>
  <c r="W38" i="24"/>
  <c r="W25" i="24"/>
  <c r="W26" i="23" s="1"/>
  <c r="P41" i="15" s="1"/>
  <c r="W92" i="24"/>
  <c r="W53" i="24"/>
  <c r="W54" i="24"/>
  <c r="W43" i="24"/>
  <c r="W57" i="24"/>
  <c r="W70" i="24"/>
  <c r="W75" i="24"/>
  <c r="W51" i="24"/>
  <c r="W48" i="24"/>
  <c r="W91" i="24"/>
  <c r="W92" i="23" s="1"/>
  <c r="P48" i="2" s="1"/>
  <c r="W77" i="24"/>
  <c r="W78" i="23" s="1"/>
  <c r="W50" i="24"/>
  <c r="W76" i="24"/>
  <c r="W36" i="24"/>
  <c r="W45" i="24"/>
  <c r="W21" i="24"/>
  <c r="W22" i="23" s="1"/>
  <c r="P34" i="15" s="1"/>
  <c r="W41" i="24"/>
  <c r="AJ73" i="25"/>
  <c r="AL73" i="25"/>
  <c r="AL51" i="25"/>
  <c r="AC44" i="18"/>
  <c r="AC93" i="18"/>
  <c r="AD40" i="2"/>
  <c r="AA20" i="22"/>
  <c r="U25" i="23"/>
  <c r="Q26" i="14"/>
  <c r="S29" i="17"/>
  <c r="AD20" i="22"/>
  <c r="S130" i="17"/>
  <c r="S129" i="17"/>
  <c r="U22" i="23"/>
  <c r="T25" i="19"/>
  <c r="S87" i="17"/>
  <c r="S98" i="17"/>
  <c r="S80" i="17"/>
  <c r="S24" i="16"/>
  <c r="U57" i="23"/>
  <c r="S45" i="16"/>
  <c r="U82" i="23"/>
  <c r="S53" i="17"/>
  <c r="T45" i="19"/>
  <c r="T49" i="19"/>
  <c r="U27" i="23"/>
  <c r="U41" i="23"/>
  <c r="T22" i="19"/>
  <c r="T75" i="19"/>
  <c r="U59" i="23"/>
  <c r="T26" i="19"/>
  <c r="T20" i="19"/>
  <c r="U78" i="23"/>
  <c r="T34" i="19"/>
  <c r="T35" i="19" s="1"/>
  <c r="G35" i="9"/>
  <c r="U60" i="23"/>
  <c r="S85" i="17"/>
  <c r="S21" i="17"/>
  <c r="S64" i="17"/>
  <c r="U26" i="23"/>
  <c r="T23" i="19"/>
  <c r="S52" i="16"/>
  <c r="U43" i="23"/>
  <c r="T59" i="19"/>
  <c r="S83" i="16" s="1"/>
  <c r="T105" i="19"/>
  <c r="S69" i="17"/>
  <c r="T27" i="19"/>
  <c r="U30" i="23"/>
  <c r="U31" i="23" s="1"/>
  <c r="T52" i="19"/>
  <c r="T103" i="19"/>
  <c r="S68" i="17"/>
  <c r="U92" i="23"/>
  <c r="T46" i="19"/>
  <c r="AA50" i="22"/>
  <c r="S36" i="16"/>
  <c r="S36" i="17"/>
  <c r="S25" i="17"/>
  <c r="S25" i="16"/>
  <c r="O63" i="23"/>
  <c r="O41" i="23"/>
  <c r="M27" i="17"/>
  <c r="M100" i="17"/>
  <c r="O49" i="23"/>
  <c r="O73" i="23"/>
  <c r="M52" i="17"/>
  <c r="N94" i="19"/>
  <c r="M48" i="17"/>
  <c r="M99" i="17"/>
  <c r="M63" i="17"/>
  <c r="N41" i="19"/>
  <c r="M63" i="16" s="1"/>
  <c r="M96" i="17"/>
  <c r="O54" i="23"/>
  <c r="N80" i="19"/>
  <c r="M104" i="16" s="1"/>
  <c r="M43" i="17"/>
  <c r="M130" i="17"/>
  <c r="N76" i="19"/>
  <c r="M66" i="17"/>
  <c r="O37" i="23"/>
  <c r="M64" i="16" s="1"/>
  <c r="M38" i="17"/>
  <c r="M39" i="16"/>
  <c r="N69" i="19"/>
  <c r="M39" i="17"/>
  <c r="M118" i="17"/>
  <c r="N65" i="19"/>
  <c r="M89" i="16" s="1"/>
  <c r="N98" i="19"/>
  <c r="M35" i="17"/>
  <c r="M67" i="16"/>
  <c r="M91" i="17"/>
  <c r="N78" i="19"/>
  <c r="M102" i="16" s="1"/>
  <c r="N97" i="19"/>
  <c r="N48" i="19"/>
  <c r="M72" i="16" s="1"/>
  <c r="M45" i="17"/>
  <c r="M56" i="16"/>
  <c r="M77" i="17"/>
  <c r="N102" i="19"/>
  <c r="O77" i="23"/>
  <c r="M54" i="17"/>
  <c r="O75" i="23"/>
  <c r="M36" i="17"/>
  <c r="M114" i="17"/>
  <c r="M27" i="16"/>
  <c r="N90" i="19"/>
  <c r="M127" i="17"/>
  <c r="M84" i="17"/>
  <c r="M107" i="17"/>
  <c r="M68" i="17"/>
  <c r="O55" i="23"/>
  <c r="M85" i="17"/>
  <c r="N101" i="19"/>
  <c r="O28" i="23"/>
  <c r="O69" i="23"/>
  <c r="M48" i="16"/>
  <c r="M69" i="17"/>
  <c r="M76" i="17"/>
  <c r="M33" i="17"/>
  <c r="N77" i="19"/>
  <c r="M101" i="16" s="1"/>
  <c r="N75" i="19"/>
  <c r="M99" i="16" s="1"/>
  <c r="N93" i="19"/>
  <c r="N67" i="19"/>
  <c r="O52" i="23"/>
  <c r="O74" i="23"/>
  <c r="N53" i="19"/>
  <c r="M125" i="17"/>
  <c r="O71" i="23"/>
  <c r="O42" i="23"/>
  <c r="N64" i="19"/>
  <c r="M88" i="16" s="1"/>
  <c r="O46" i="23"/>
  <c r="M84" i="16" s="1"/>
  <c r="M78" i="16"/>
  <c r="O78" i="23"/>
  <c r="O58" i="23"/>
  <c r="M38" i="16"/>
  <c r="O44" i="23"/>
  <c r="M75" i="17"/>
  <c r="N66" i="19"/>
  <c r="N61" i="19"/>
  <c r="N49" i="19"/>
  <c r="M34" i="17"/>
  <c r="N63" i="19"/>
  <c r="N103" i="19"/>
  <c r="M32" i="16"/>
  <c r="M88" i="17"/>
  <c r="M46" i="16"/>
  <c r="M46" i="17"/>
  <c r="N72" i="19"/>
  <c r="M44" i="17"/>
  <c r="M34" i="16"/>
  <c r="M80" i="17"/>
  <c r="M121" i="17"/>
  <c r="O39" i="23"/>
  <c r="M54" i="16"/>
  <c r="N96" i="19"/>
  <c r="N91" i="19"/>
  <c r="N45" i="19"/>
  <c r="M68" i="16" s="1"/>
  <c r="N57" i="19"/>
  <c r="M81" i="16" s="1"/>
  <c r="M53" i="17"/>
  <c r="M37" i="17"/>
  <c r="N52" i="19"/>
  <c r="M32" i="17"/>
  <c r="N51" i="19"/>
  <c r="M75" i="16" s="1"/>
  <c r="N79" i="19"/>
  <c r="M103" i="16" s="1"/>
  <c r="M74" i="17"/>
  <c r="N73" i="19"/>
  <c r="O94" i="23"/>
  <c r="N74" i="19"/>
  <c r="M98" i="16" s="1"/>
  <c r="M93" i="17"/>
  <c r="M33" i="16"/>
  <c r="M43" i="16"/>
  <c r="M25" i="17"/>
  <c r="M122" i="17"/>
  <c r="M36" i="16"/>
  <c r="O23" i="23"/>
  <c r="N89" i="19"/>
  <c r="M103" i="17"/>
  <c r="M29" i="16"/>
  <c r="M22" i="16"/>
  <c r="M22" i="17"/>
  <c r="O47" i="23"/>
  <c r="O50" i="23"/>
  <c r="N106" i="19"/>
  <c r="N46" i="19"/>
  <c r="M69" i="16" s="1"/>
  <c r="M28" i="16"/>
  <c r="M28" i="17"/>
  <c r="N50" i="19"/>
  <c r="M74" i="16" s="1"/>
  <c r="O51" i="23"/>
  <c r="M73" i="17"/>
  <c r="M119" i="17"/>
  <c r="N95" i="19"/>
  <c r="N43" i="19"/>
  <c r="M51" i="16"/>
  <c r="M51" i="17"/>
  <c r="O56" i="23"/>
  <c r="M21" i="16"/>
  <c r="M21" i="17"/>
  <c r="M24" i="17"/>
  <c r="M24" i="16"/>
  <c r="O93" i="23"/>
  <c r="M71" i="17"/>
  <c r="M71" i="16"/>
  <c r="M55" i="16"/>
  <c r="M55" i="17"/>
  <c r="O43" i="23"/>
  <c r="O76" i="23"/>
  <c r="M90" i="17"/>
  <c r="N35" i="19"/>
  <c r="M35" i="16"/>
  <c r="M37" i="16"/>
  <c r="M44" i="16"/>
  <c r="M33" i="23"/>
  <c r="M65" i="23" s="1"/>
  <c r="M89" i="23" s="1"/>
  <c r="U48" i="16" l="1"/>
  <c r="P45" i="15"/>
  <c r="U43" i="16"/>
  <c r="P40" i="15"/>
  <c r="U126" i="16"/>
  <c r="P37" i="2"/>
  <c r="U122" i="16"/>
  <c r="P33" i="2"/>
  <c r="W69" i="23"/>
  <c r="P24" i="2" s="1"/>
  <c r="W76" i="23"/>
  <c r="W77" i="23"/>
  <c r="W74" i="23"/>
  <c r="W71" i="23"/>
  <c r="W56" i="23"/>
  <c r="U97" i="16" s="1"/>
  <c r="W58" i="23"/>
  <c r="U100" i="16" s="1"/>
  <c r="W75" i="23"/>
  <c r="W55" i="23"/>
  <c r="U96" i="16" s="1"/>
  <c r="W42" i="23"/>
  <c r="W54" i="23"/>
  <c r="U93" i="16" s="1"/>
  <c r="W47" i="23"/>
  <c r="U85" i="16" s="1"/>
  <c r="W52" i="23"/>
  <c r="U91" i="16" s="1"/>
  <c r="W60" i="23"/>
  <c r="U103" i="16" s="1"/>
  <c r="W46" i="23"/>
  <c r="U84" i="16" s="1"/>
  <c r="W39" i="23"/>
  <c r="U66" i="16" s="1"/>
  <c r="W37" i="23"/>
  <c r="U64" i="16" s="1"/>
  <c r="W51" i="23"/>
  <c r="U90" i="16" s="1"/>
  <c r="W44" i="23"/>
  <c r="U77" i="16" s="1"/>
  <c r="W94" i="23"/>
  <c r="P50" i="2" s="1"/>
  <c r="W70" i="23"/>
  <c r="W50" i="23"/>
  <c r="W63" i="23"/>
  <c r="W45" i="23"/>
  <c r="U78" i="16" s="1"/>
  <c r="W49" i="23"/>
  <c r="U87" i="16" s="1"/>
  <c r="W93" i="23"/>
  <c r="P49" i="2" s="1"/>
  <c r="W73" i="23"/>
  <c r="W31" i="23"/>
  <c r="P17" i="2" s="1"/>
  <c r="U54" i="16"/>
  <c r="U57" i="16" s="1"/>
  <c r="U38" i="16"/>
  <c r="U41" i="16" s="1"/>
  <c r="W23" i="23"/>
  <c r="P15" i="2" s="1"/>
  <c r="W28" i="23"/>
  <c r="P16" i="2" s="1"/>
  <c r="U44" i="16"/>
  <c r="S51" i="17"/>
  <c r="S51" i="16"/>
  <c r="U93" i="23"/>
  <c r="T106" i="19"/>
  <c r="S130" i="16" s="1"/>
  <c r="T78" i="19"/>
  <c r="S102" i="16" s="1"/>
  <c r="S99" i="17"/>
  <c r="S90" i="17"/>
  <c r="U56" i="23"/>
  <c r="S102" i="17"/>
  <c r="T69" i="19"/>
  <c r="S69" i="16"/>
  <c r="U46" i="23"/>
  <c r="T53" i="19"/>
  <c r="T83" i="19"/>
  <c r="S29" i="16"/>
  <c r="T61" i="19"/>
  <c r="U39" i="23"/>
  <c r="S100" i="17"/>
  <c r="S24" i="17"/>
  <c r="T71" i="19"/>
  <c r="S95" i="16" s="1"/>
  <c r="S95" i="17"/>
  <c r="S96" i="17"/>
  <c r="S44" i="17"/>
  <c r="U47" i="23"/>
  <c r="S43" i="16"/>
  <c r="T79" i="19"/>
  <c r="S103" i="16" s="1"/>
  <c r="S119" i="17"/>
  <c r="U69" i="23"/>
  <c r="T56" i="19"/>
  <c r="S80" i="16" s="1"/>
  <c r="T44" i="19"/>
  <c r="S67" i="16" s="1"/>
  <c r="S122" i="17"/>
  <c r="S33" i="16"/>
  <c r="T41" i="19"/>
  <c r="S63" i="16" s="1"/>
  <c r="T93" i="19"/>
  <c r="AG20" i="22"/>
  <c r="T70" i="19"/>
  <c r="S94" i="16" s="1"/>
  <c r="T101" i="19"/>
  <c r="T65" i="19"/>
  <c r="S89" i="16" s="1"/>
  <c r="S117" i="17"/>
  <c r="T80" i="19"/>
  <c r="S104" i="16" s="1"/>
  <c r="S67" i="17"/>
  <c r="S93" i="17"/>
  <c r="S71" i="16"/>
  <c r="S73" i="16"/>
  <c r="S71" i="17"/>
  <c r="T50" i="19"/>
  <c r="S74" i="16" s="1"/>
  <c r="U75" i="23"/>
  <c r="S91" i="17"/>
  <c r="S120" i="17"/>
  <c r="T74" i="19"/>
  <c r="S98" i="16" s="1"/>
  <c r="T95" i="19"/>
  <c r="S88" i="17"/>
  <c r="S76" i="17"/>
  <c r="T54" i="19"/>
  <c r="T90" i="19"/>
  <c r="S114" i="17"/>
  <c r="Z25" i="37"/>
  <c r="U71" i="23"/>
  <c r="U52" i="23"/>
  <c r="S54" i="16"/>
  <c r="T72" i="19"/>
  <c r="T97" i="19"/>
  <c r="S78" i="17"/>
  <c r="T98" i="19"/>
  <c r="AF134" i="18"/>
  <c r="AC134" i="18"/>
  <c r="S32" i="17"/>
  <c r="S138" i="17"/>
  <c r="S118" i="17"/>
  <c r="S101" i="17"/>
  <c r="U73" i="23"/>
  <c r="U63" i="23"/>
  <c r="S89" i="17"/>
  <c r="U45" i="23"/>
  <c r="S99" i="16"/>
  <c r="S21" i="16"/>
  <c r="T60" i="19"/>
  <c r="S37" i="17"/>
  <c r="U44" i="23"/>
  <c r="S104" i="17"/>
  <c r="S35" i="17"/>
  <c r="T102" i="19"/>
  <c r="S37" i="16"/>
  <c r="S84" i="17"/>
  <c r="S63" i="17"/>
  <c r="S129" i="16"/>
  <c r="S53" i="16"/>
  <c r="S33" i="17"/>
  <c r="S107" i="17"/>
  <c r="S52" i="17"/>
  <c r="S39" i="16"/>
  <c r="U54" i="23"/>
  <c r="S76" i="16"/>
  <c r="S44" i="16"/>
  <c r="S75" i="17"/>
  <c r="S113" i="17"/>
  <c r="T94" i="19"/>
  <c r="T115" i="19"/>
  <c r="S74" i="17"/>
  <c r="S77" i="17"/>
  <c r="S27" i="17"/>
  <c r="S48" i="17"/>
  <c r="T43" i="19"/>
  <c r="S121" i="17"/>
  <c r="S56" i="16"/>
  <c r="S34" i="17"/>
  <c r="S38" i="17"/>
  <c r="U70" i="23"/>
  <c r="T51" i="19"/>
  <c r="S75" i="16" s="1"/>
  <c r="U51" i="23"/>
  <c r="T17" i="19"/>
  <c r="S66" i="17"/>
  <c r="T66" i="19"/>
  <c r="T96" i="19"/>
  <c r="T63" i="19"/>
  <c r="T77" i="19"/>
  <c r="S101" i="16" s="1"/>
  <c r="S83" i="17"/>
  <c r="S40" i="17"/>
  <c r="S40" i="16"/>
  <c r="S126" i="17"/>
  <c r="S48" i="16"/>
  <c r="S39" i="17"/>
  <c r="U74" i="23"/>
  <c r="U55" i="23"/>
  <c r="U28" i="23"/>
  <c r="U42" i="23"/>
  <c r="T91" i="19"/>
  <c r="S115" i="17"/>
  <c r="S68" i="16"/>
  <c r="S103" i="17"/>
  <c r="T64" i="19"/>
  <c r="S88" i="16" s="1"/>
  <c r="S38" i="16"/>
  <c r="S34" i="16"/>
  <c r="S127" i="16"/>
  <c r="U76" i="23"/>
  <c r="U50" i="23"/>
  <c r="U58" i="23"/>
  <c r="U77" i="23"/>
  <c r="T89" i="19"/>
  <c r="S32" i="16"/>
  <c r="T28" i="19"/>
  <c r="T73" i="19"/>
  <c r="S97" i="17"/>
  <c r="S23" i="16"/>
  <c r="S23" i="17"/>
  <c r="S28" i="16"/>
  <c r="S28" i="17"/>
  <c r="S125" i="17"/>
  <c r="U49" i="23"/>
  <c r="S72" i="17"/>
  <c r="T48" i="19"/>
  <c r="S72" i="16" s="1"/>
  <c r="U37" i="23"/>
  <c r="S64" i="16" s="1"/>
  <c r="T67" i="19"/>
  <c r="S56" i="17"/>
  <c r="S45" i="17"/>
  <c r="S46" i="17"/>
  <c r="S46" i="16"/>
  <c r="S54" i="17"/>
  <c r="S127" i="17"/>
  <c r="S73" i="17"/>
  <c r="S22" i="16"/>
  <c r="S22" i="17"/>
  <c r="U94" i="23"/>
  <c r="T76" i="19"/>
  <c r="T114" i="19"/>
  <c r="S35" i="16"/>
  <c r="M107" i="16"/>
  <c r="M73" i="16"/>
  <c r="M87" i="16"/>
  <c r="M93" i="16"/>
  <c r="M100" i="16"/>
  <c r="M138" i="17"/>
  <c r="M121" i="16"/>
  <c r="M125" i="16"/>
  <c r="M114" i="16"/>
  <c r="M97" i="16"/>
  <c r="M139" i="17"/>
  <c r="M96" i="16"/>
  <c r="M77" i="16"/>
  <c r="M115" i="16"/>
  <c r="M117" i="16"/>
  <c r="M127" i="16"/>
  <c r="M119" i="16"/>
  <c r="M118" i="16"/>
  <c r="M90" i="16"/>
  <c r="M85" i="16"/>
  <c r="M66" i="16"/>
  <c r="M91" i="16"/>
  <c r="M122" i="16"/>
  <c r="M120" i="16"/>
  <c r="O96" i="23"/>
  <c r="O79" i="23"/>
  <c r="O86" i="23" s="1"/>
  <c r="M76" i="16"/>
  <c r="M113" i="16"/>
  <c r="O61" i="23"/>
  <c r="O33" i="23"/>
  <c r="N70" i="19"/>
  <c r="M94" i="17"/>
  <c r="M130" i="16"/>
  <c r="J115" i="20"/>
  <c r="J99" i="20"/>
  <c r="J106" i="20" s="1"/>
  <c r="J81" i="20"/>
  <c r="J35" i="20"/>
  <c r="J28" i="20"/>
  <c r="U113" i="16" l="1"/>
  <c r="U49" i="16"/>
  <c r="U59" i="16" s="1"/>
  <c r="U118" i="16"/>
  <c r="P29" i="2"/>
  <c r="U117" i="16"/>
  <c r="P28" i="2"/>
  <c r="U121" i="16"/>
  <c r="P32" i="2"/>
  <c r="U120" i="16"/>
  <c r="P31" i="2"/>
  <c r="U119" i="16"/>
  <c r="P30" i="2"/>
  <c r="U107" i="16"/>
  <c r="P19" i="2"/>
  <c r="U114" i="16"/>
  <c r="P25" i="2"/>
  <c r="U115" i="16"/>
  <c r="P26" i="2"/>
  <c r="W96" i="23"/>
  <c r="U105" i="16"/>
  <c r="W79" i="23"/>
  <c r="W86" i="23" s="1"/>
  <c r="W61" i="23"/>
  <c r="P18" i="2" s="1"/>
  <c r="W33" i="23"/>
  <c r="S77" i="16"/>
  <c r="S66" i="16"/>
  <c r="S97" i="16"/>
  <c r="S93" i="16"/>
  <c r="S84" i="16"/>
  <c r="S85" i="16"/>
  <c r="S91" i="16"/>
  <c r="T81" i="20"/>
  <c r="S94" i="17"/>
  <c r="S105" i="17" s="1"/>
  <c r="S107" i="16"/>
  <c r="S122" i="16"/>
  <c r="S27" i="16"/>
  <c r="S96" i="16"/>
  <c r="S125" i="16"/>
  <c r="S119" i="16"/>
  <c r="S126" i="16"/>
  <c r="S78" i="16"/>
  <c r="S139" i="17"/>
  <c r="S141" i="17" s="1"/>
  <c r="S117" i="16"/>
  <c r="S123" i="17"/>
  <c r="S132" i="17" s="1"/>
  <c r="S41" i="17"/>
  <c r="T99" i="19"/>
  <c r="T108" i="19" s="1"/>
  <c r="S90" i="16"/>
  <c r="S114" i="16"/>
  <c r="S87" i="16"/>
  <c r="S49" i="17"/>
  <c r="S120" i="16"/>
  <c r="S118" i="16"/>
  <c r="S113" i="16"/>
  <c r="S115" i="16"/>
  <c r="U61" i="23"/>
  <c r="U79" i="23"/>
  <c r="U86" i="23" s="1"/>
  <c r="S121" i="16"/>
  <c r="S57" i="17"/>
  <c r="S26" i="17"/>
  <c r="S30" i="17" s="1"/>
  <c r="S100" i="16"/>
  <c r="T37" i="19"/>
  <c r="U96" i="23"/>
  <c r="T117" i="19"/>
  <c r="T81" i="19"/>
  <c r="O65" i="23"/>
  <c r="O89" i="23" s="1"/>
  <c r="O101" i="23" s="1"/>
  <c r="M94" i="16"/>
  <c r="N81" i="19"/>
  <c r="L105" i="19"/>
  <c r="J37" i="20"/>
  <c r="J85" i="20" s="1"/>
  <c r="J109" i="20" s="1"/>
  <c r="J119" i="20" s="1"/>
  <c r="L32" i="19"/>
  <c r="L27" i="19"/>
  <c r="L33" i="19"/>
  <c r="L26" i="19"/>
  <c r="L20" i="19"/>
  <c r="L24" i="19"/>
  <c r="L30" i="19"/>
  <c r="L34" i="19"/>
  <c r="L22" i="19"/>
  <c r="L21" i="19"/>
  <c r="L25" i="19"/>
  <c r="L71" i="19"/>
  <c r="H34" i="43"/>
  <c r="Z34" i="43" s="1"/>
  <c r="Z29" i="43"/>
  <c r="U123" i="16" l="1"/>
  <c r="U132" i="16" s="1"/>
  <c r="U109" i="16"/>
  <c r="W65" i="23"/>
  <c r="W89" i="23" s="1"/>
  <c r="W101" i="23" s="1"/>
  <c r="S59" i="17"/>
  <c r="S109" i="17" s="1"/>
  <c r="S135" i="17" s="1"/>
  <c r="S145" i="17" s="1"/>
  <c r="T85" i="19"/>
  <c r="T111" i="19" s="1"/>
  <c r="T121" i="19" s="1"/>
  <c r="P22" i="19"/>
  <c r="O34" i="16" s="1"/>
  <c r="L78" i="19"/>
  <c r="L76" i="19"/>
  <c r="L66" i="19"/>
  <c r="L54" i="19"/>
  <c r="L50" i="19"/>
  <c r="L67" i="19"/>
  <c r="L49" i="19"/>
  <c r="L61" i="19"/>
  <c r="L17" i="19"/>
  <c r="L53" i="19"/>
  <c r="L79" i="19"/>
  <c r="L91" i="19"/>
  <c r="L95" i="19"/>
  <c r="L72" i="19"/>
  <c r="L46" i="19"/>
  <c r="L52" i="21"/>
  <c r="L56" i="21" s="1"/>
  <c r="L69" i="19"/>
  <c r="L88" i="21"/>
  <c r="L44" i="19"/>
  <c r="L74" i="19"/>
  <c r="L64" i="19"/>
  <c r="L83" i="19"/>
  <c r="L77" i="19"/>
  <c r="L43" i="19"/>
  <c r="L60" i="19"/>
  <c r="L75" i="19"/>
  <c r="L31" i="19"/>
  <c r="L48" i="19"/>
  <c r="K72" i="16" s="1"/>
  <c r="K72" i="17"/>
  <c r="L56" i="19"/>
  <c r="K80" i="16" s="1"/>
  <c r="K80" i="17"/>
  <c r="L63" i="19"/>
  <c r="K87" i="16" s="1"/>
  <c r="K87" i="17"/>
  <c r="L23" i="19"/>
  <c r="K35" i="17"/>
  <c r="L57" i="19"/>
  <c r="K81" i="16" s="1"/>
  <c r="K81" i="17"/>
  <c r="L80" i="19"/>
  <c r="K104" i="16" s="1"/>
  <c r="K104" i="17"/>
  <c r="L59" i="19"/>
  <c r="K83" i="16" s="1"/>
  <c r="K83" i="17"/>
  <c r="L51" i="19"/>
  <c r="L90" i="19"/>
  <c r="L70" i="21"/>
  <c r="L79" i="21" s="1"/>
  <c r="L89" i="19"/>
  <c r="L93" i="19"/>
  <c r="L52" i="19"/>
  <c r="L65" i="19"/>
  <c r="L73" i="19"/>
  <c r="L94" i="19"/>
  <c r="L45" i="19"/>
  <c r="L41" i="19"/>
  <c r="U135" i="16" l="1"/>
  <c r="P101" i="19"/>
  <c r="L82" i="21"/>
  <c r="L92" i="21" s="1"/>
  <c r="L102" i="19"/>
  <c r="L115" i="19"/>
  <c r="K23" i="16"/>
  <c r="K117" i="17"/>
  <c r="K117" i="16"/>
  <c r="K37" i="17"/>
  <c r="K37" i="16"/>
  <c r="K21" i="16"/>
  <c r="K40" i="16"/>
  <c r="K40" i="17"/>
  <c r="K103" i="17"/>
  <c r="K103" i="16"/>
  <c r="K73" i="17"/>
  <c r="K73" i="16"/>
  <c r="K35" i="16"/>
  <c r="K43" i="16"/>
  <c r="K43" i="17"/>
  <c r="K118" i="17"/>
  <c r="K118" i="16"/>
  <c r="L70" i="19"/>
  <c r="K107" i="17"/>
  <c r="K107" i="16"/>
  <c r="K32" i="16"/>
  <c r="K32" i="17"/>
  <c r="K97" i="17"/>
  <c r="K97" i="16"/>
  <c r="K93" i="17"/>
  <c r="K93" i="16"/>
  <c r="D15" i="6"/>
  <c r="D14" i="6"/>
  <c r="D15" i="5"/>
  <c r="D14" i="5"/>
  <c r="AA71" i="22" l="1"/>
  <c r="N19" i="2"/>
  <c r="N50" i="2"/>
  <c r="AA62" i="22"/>
  <c r="AA27" i="22"/>
  <c r="AA29" i="22" s="1"/>
  <c r="F13" i="15"/>
  <c r="F12" i="15"/>
  <c r="Q126" i="17" l="1"/>
  <c r="K22" i="16"/>
  <c r="P15" i="5"/>
  <c r="Q129" i="16" l="1"/>
  <c r="Q129" i="17"/>
  <c r="G139" i="17"/>
  <c r="G138" i="17"/>
  <c r="G130" i="17"/>
  <c r="G129" i="17"/>
  <c r="G127" i="17"/>
  <c r="G126" i="17"/>
  <c r="G125" i="17"/>
  <c r="G122" i="17"/>
  <c r="G121" i="17"/>
  <c r="G120" i="17"/>
  <c r="G119" i="17"/>
  <c r="G118" i="17"/>
  <c r="G117" i="17"/>
  <c r="G115" i="17"/>
  <c r="G114" i="17"/>
  <c r="G113" i="17"/>
  <c r="G104" i="17"/>
  <c r="G103" i="17"/>
  <c r="G102" i="17"/>
  <c r="G101" i="17"/>
  <c r="G100" i="17"/>
  <c r="G99" i="17"/>
  <c r="G98" i="17"/>
  <c r="G97" i="17"/>
  <c r="G96" i="17"/>
  <c r="G94" i="17"/>
  <c r="G93" i="17"/>
  <c r="G91" i="17"/>
  <c r="G90" i="17"/>
  <c r="G89" i="17"/>
  <c r="G88" i="17"/>
  <c r="G87" i="17"/>
  <c r="G85" i="17"/>
  <c r="G84" i="17"/>
  <c r="G83" i="17"/>
  <c r="G81" i="17"/>
  <c r="G80" i="17"/>
  <c r="G78" i="17"/>
  <c r="G77" i="17"/>
  <c r="G76" i="17"/>
  <c r="G75" i="17"/>
  <c r="G74" i="17"/>
  <c r="G73" i="17"/>
  <c r="G72" i="17"/>
  <c r="G71" i="17"/>
  <c r="G69" i="17"/>
  <c r="G68" i="17"/>
  <c r="G67" i="17"/>
  <c r="G66" i="17"/>
  <c r="G64" i="17"/>
  <c r="G63" i="17"/>
  <c r="G56" i="17"/>
  <c r="G55" i="17"/>
  <c r="G54" i="17"/>
  <c r="G53" i="17"/>
  <c r="G52" i="17"/>
  <c r="G51" i="17"/>
  <c r="G48" i="17"/>
  <c r="G46" i="17"/>
  <c r="G45" i="17"/>
  <c r="G44" i="17"/>
  <c r="G43" i="17"/>
  <c r="G40" i="17"/>
  <c r="G38" i="17"/>
  <c r="G37" i="17"/>
  <c r="G36" i="17"/>
  <c r="G35" i="17"/>
  <c r="G34" i="17"/>
  <c r="G33" i="17"/>
  <c r="G32" i="17"/>
  <c r="G29" i="17"/>
  <c r="G28" i="17"/>
  <c r="G25" i="17"/>
  <c r="G24" i="17"/>
  <c r="G23" i="17"/>
  <c r="G22" i="17"/>
  <c r="G21" i="17"/>
  <c r="G71" i="16"/>
  <c r="G56" i="16"/>
  <c r="G55" i="16"/>
  <c r="G53" i="16"/>
  <c r="G52" i="16"/>
  <c r="G51" i="16"/>
  <c r="G40" i="16"/>
  <c r="G29" i="16"/>
  <c r="G28" i="16"/>
  <c r="G25" i="16"/>
  <c r="G24" i="16"/>
  <c r="G23" i="16"/>
  <c r="G22" i="16"/>
  <c r="G21" i="16"/>
  <c r="G123" i="17" l="1"/>
  <c r="G141" i="17"/>
  <c r="G132" i="17" l="1"/>
  <c r="K58" i="23" l="1"/>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L114" i="19" l="1"/>
  <c r="J102" i="19"/>
  <c r="J33" i="19"/>
  <c r="J22" i="19"/>
  <c r="J24" i="19"/>
  <c r="I93" i="17"/>
  <c r="I83" i="17"/>
  <c r="J80" i="19"/>
  <c r="I104" i="16" s="1"/>
  <c r="J32" i="19"/>
  <c r="J34" i="19"/>
  <c r="I52" i="17"/>
  <c r="I80" i="17"/>
  <c r="J25" i="19"/>
  <c r="J53" i="19"/>
  <c r="I55" i="17"/>
  <c r="J71" i="19"/>
  <c r="I97" i="17"/>
  <c r="I38" i="17"/>
  <c r="J31" i="19"/>
  <c r="J21" i="19"/>
  <c r="I53" i="17"/>
  <c r="I77" i="17"/>
  <c r="J105" i="19"/>
  <c r="I101" i="17"/>
  <c r="I72" i="17"/>
  <c r="I25" i="17"/>
  <c r="J20" i="19"/>
  <c r="J91" i="19"/>
  <c r="J115" i="19"/>
  <c r="I81" i="17"/>
  <c r="I64" i="16"/>
  <c r="I29" i="17"/>
  <c r="I130" i="17"/>
  <c r="J27" i="19"/>
  <c r="J90" i="19"/>
  <c r="I67" i="17"/>
  <c r="I87" i="17"/>
  <c r="J30" i="19"/>
  <c r="I51" i="16"/>
  <c r="I129" i="17"/>
  <c r="I23" i="16"/>
  <c r="I23" i="17"/>
  <c r="I21" i="16"/>
  <c r="J23" i="19"/>
  <c r="I104" i="17"/>
  <c r="I40" i="17"/>
  <c r="I40" i="16"/>
  <c r="L96" i="19" l="1"/>
  <c r="L101" i="19"/>
  <c r="L97" i="19"/>
  <c r="L98" i="19"/>
  <c r="K115" i="17"/>
  <c r="K115" i="16"/>
  <c r="K25" i="16"/>
  <c r="K121" i="17"/>
  <c r="K74" i="17"/>
  <c r="K74" i="16"/>
  <c r="K67" i="17"/>
  <c r="K67" i="16"/>
  <c r="K96" i="17"/>
  <c r="K96" i="16"/>
  <c r="K51" i="17"/>
  <c r="K51" i="16"/>
  <c r="K120" i="17"/>
  <c r="K53" i="16"/>
  <c r="K53" i="17"/>
  <c r="K85" i="17"/>
  <c r="K85" i="16"/>
  <c r="K45" i="17"/>
  <c r="K45" i="16"/>
  <c r="K91" i="17"/>
  <c r="K91" i="16"/>
  <c r="K39" i="17"/>
  <c r="K39" i="16"/>
  <c r="K101" i="17"/>
  <c r="K101" i="16"/>
  <c r="K122" i="17"/>
  <c r="K38" i="17"/>
  <c r="K38" i="16"/>
  <c r="K44" i="16"/>
  <c r="K44" i="17"/>
  <c r="K68" i="16"/>
  <c r="K68" i="17"/>
  <c r="K55" i="17"/>
  <c r="K55" i="16"/>
  <c r="K33" i="16"/>
  <c r="K33" i="17"/>
  <c r="K63" i="17"/>
  <c r="K63" i="16"/>
  <c r="K29" i="17"/>
  <c r="K29" i="16"/>
  <c r="K84" i="17"/>
  <c r="K84" i="16"/>
  <c r="K64" i="17"/>
  <c r="K64" i="16"/>
  <c r="K56" i="17"/>
  <c r="K56" i="16"/>
  <c r="K113" i="16"/>
  <c r="K113" i="17"/>
  <c r="K94" i="17"/>
  <c r="K94" i="16"/>
  <c r="K119" i="17"/>
  <c r="K119" i="16"/>
  <c r="K100" i="17"/>
  <c r="K100" i="16"/>
  <c r="K90" i="17"/>
  <c r="K90" i="16"/>
  <c r="L106" i="19"/>
  <c r="K130" i="17"/>
  <c r="K52" i="17"/>
  <c r="K52" i="16"/>
  <c r="K89" i="16"/>
  <c r="K89" i="17"/>
  <c r="K99" i="17"/>
  <c r="K99" i="16"/>
  <c r="K78" i="16"/>
  <c r="K78" i="17"/>
  <c r="K27" i="17"/>
  <c r="K27" i="16"/>
  <c r="K48" i="17"/>
  <c r="K48" i="16"/>
  <c r="K46" i="17"/>
  <c r="K46" i="16"/>
  <c r="K66" i="17"/>
  <c r="K66" i="16"/>
  <c r="K75" i="17"/>
  <c r="K75" i="16"/>
  <c r="K71" i="17"/>
  <c r="K71" i="16"/>
  <c r="K24" i="16"/>
  <c r="K114" i="16"/>
  <c r="K114" i="17"/>
  <c r="K36" i="17"/>
  <c r="K36" i="16"/>
  <c r="L103" i="19"/>
  <c r="K127" i="17"/>
  <c r="K88" i="16"/>
  <c r="K88" i="17"/>
  <c r="K76" i="17"/>
  <c r="K76" i="16"/>
  <c r="K54" i="16"/>
  <c r="K54" i="17"/>
  <c r="K28" i="17"/>
  <c r="K28" i="16"/>
  <c r="K98" i="16"/>
  <c r="K98" i="17"/>
  <c r="K69" i="16"/>
  <c r="K69" i="17"/>
  <c r="K125" i="17"/>
  <c r="K102" i="17"/>
  <c r="K102" i="16"/>
  <c r="K77" i="16"/>
  <c r="K77" i="17"/>
  <c r="K34" i="17"/>
  <c r="K34" i="16"/>
  <c r="K138" i="17"/>
  <c r="J59" i="19"/>
  <c r="I83" i="16" s="1"/>
  <c r="I85" i="17"/>
  <c r="I54" i="17"/>
  <c r="I54" i="16"/>
  <c r="J72" i="19"/>
  <c r="I96" i="16" s="1"/>
  <c r="I96" i="17"/>
  <c r="I46" i="17"/>
  <c r="I117" i="17"/>
  <c r="J49" i="19"/>
  <c r="I73" i="16" s="1"/>
  <c r="J97" i="19"/>
  <c r="I64" i="17"/>
  <c r="I73" i="17"/>
  <c r="I24" i="17"/>
  <c r="I56" i="17"/>
  <c r="I122" i="17"/>
  <c r="I115" i="17"/>
  <c r="I56" i="16"/>
  <c r="I24" i="16"/>
  <c r="I91" i="17"/>
  <c r="J43" i="19"/>
  <c r="I66" i="16" s="1"/>
  <c r="I36" i="17"/>
  <c r="I69" i="17"/>
  <c r="I114" i="17"/>
  <c r="J57" i="19"/>
  <c r="I81" i="16" s="1"/>
  <c r="I113" i="17"/>
  <c r="J106" i="19"/>
  <c r="I37" i="17"/>
  <c r="J67" i="19"/>
  <c r="I91" i="16" s="1"/>
  <c r="I76" i="17"/>
  <c r="J52" i="19"/>
  <c r="I76" i="16" s="1"/>
  <c r="I115" i="16"/>
  <c r="I37" i="16"/>
  <c r="J41" i="19"/>
  <c r="I63" i="16" s="1"/>
  <c r="I99" i="17"/>
  <c r="J74" i="19"/>
  <c r="I98" i="16" s="1"/>
  <c r="I103" i="17"/>
  <c r="J64" i="19"/>
  <c r="I88" i="16" s="1"/>
  <c r="I28" i="17"/>
  <c r="J77" i="19"/>
  <c r="I101" i="16" s="1"/>
  <c r="J50" i="19"/>
  <c r="I74" i="16" s="1"/>
  <c r="J66" i="19"/>
  <c r="I90" i="16" s="1"/>
  <c r="I88" i="17"/>
  <c r="I78" i="17"/>
  <c r="I75" i="17"/>
  <c r="I25" i="16"/>
  <c r="J73" i="19"/>
  <c r="I97" i="16" s="1"/>
  <c r="I102" i="17"/>
  <c r="I28" i="16"/>
  <c r="I74" i="17"/>
  <c r="I43" i="16"/>
  <c r="I43" i="17"/>
  <c r="J44" i="19"/>
  <c r="I67" i="16" s="1"/>
  <c r="J96" i="19"/>
  <c r="J54" i="19"/>
  <c r="I78" i="16" s="1"/>
  <c r="I114" i="16"/>
  <c r="I46" i="16"/>
  <c r="J78" i="19"/>
  <c r="I102" i="16" s="1"/>
  <c r="I48" i="17"/>
  <c r="I55" i="16"/>
  <c r="I66" i="17"/>
  <c r="I120" i="17"/>
  <c r="I52" i="16"/>
  <c r="I48" i="16"/>
  <c r="I33" i="17"/>
  <c r="I98" i="17"/>
  <c r="I32" i="16"/>
  <c r="J75" i="19"/>
  <c r="I99" i="16" s="1"/>
  <c r="I77" i="16"/>
  <c r="I129" i="16"/>
  <c r="J51" i="19"/>
  <c r="I75" i="16" s="1"/>
  <c r="I89" i="17"/>
  <c r="I84" i="17"/>
  <c r="J65" i="19"/>
  <c r="I89" i="16" s="1"/>
  <c r="J60" i="19"/>
  <c r="I84" i="16" s="1"/>
  <c r="I44" i="16"/>
  <c r="I45" i="16"/>
  <c r="I44" i="17"/>
  <c r="I126" i="17"/>
  <c r="J69" i="19"/>
  <c r="I93" i="16" s="1"/>
  <c r="J76" i="19"/>
  <c r="I100" i="16" s="1"/>
  <c r="J93" i="19"/>
  <c r="J61" i="19"/>
  <c r="I85" i="16" s="1"/>
  <c r="I90" i="17"/>
  <c r="J79" i="19"/>
  <c r="I103" i="16" s="1"/>
  <c r="I71" i="17"/>
  <c r="J46" i="19"/>
  <c r="I69" i="16" s="1"/>
  <c r="I68" i="17"/>
  <c r="J70" i="19"/>
  <c r="I94" i="16" s="1"/>
  <c r="I119" i="17"/>
  <c r="I34" i="17"/>
  <c r="J101" i="19"/>
  <c r="I39" i="16"/>
  <c r="J89" i="19"/>
  <c r="J48" i="19"/>
  <c r="I72" i="16" s="1"/>
  <c r="J56" i="19"/>
  <c r="I80" i="16" s="1"/>
  <c r="J45" i="19"/>
  <c r="I68" i="16" s="1"/>
  <c r="I27" i="16"/>
  <c r="I100" i="17"/>
  <c r="I39" i="17"/>
  <c r="I71" i="16"/>
  <c r="J103" i="19"/>
  <c r="I125" i="17"/>
  <c r="I53" i="16"/>
  <c r="I118" i="17"/>
  <c r="I51" i="17"/>
  <c r="I29" i="16"/>
  <c r="I63" i="17"/>
  <c r="J63" i="19"/>
  <c r="I87" i="16" s="1"/>
  <c r="J114" i="19"/>
  <c r="I121" i="17"/>
  <c r="J94" i="19"/>
  <c r="I127" i="17"/>
  <c r="I45" i="17"/>
  <c r="I34" i="16"/>
  <c r="J95" i="19"/>
  <c r="I32" i="17"/>
  <c r="J98" i="19"/>
  <c r="I126" i="16"/>
  <c r="I35" i="16"/>
  <c r="I22" i="23"/>
  <c r="K22" i="23"/>
  <c r="H20" i="19"/>
  <c r="G32" i="16" s="1"/>
  <c r="H30" i="19"/>
  <c r="H59" i="19"/>
  <c r="G83" i="16" s="1"/>
  <c r="H22" i="19"/>
  <c r="G34" i="16" s="1"/>
  <c r="K122" i="16" l="1"/>
  <c r="K125" i="16"/>
  <c r="K120" i="16"/>
  <c r="K121" i="16"/>
  <c r="K57" i="17"/>
  <c r="K41" i="17"/>
  <c r="K105" i="17"/>
  <c r="K49" i="17"/>
  <c r="K26" i="17"/>
  <c r="K30" i="17" s="1"/>
  <c r="K127" i="16"/>
  <c r="K139" i="17"/>
  <c r="K141" i="17" s="1"/>
  <c r="K123" i="17"/>
  <c r="K130" i="16"/>
  <c r="I121" i="16"/>
  <c r="I139" i="17"/>
  <c r="I130" i="16"/>
  <c r="I125" i="16"/>
  <c r="I120" i="16"/>
  <c r="I118" i="16"/>
  <c r="I138" i="17"/>
  <c r="I117" i="16"/>
  <c r="I127" i="16"/>
  <c r="I119" i="16"/>
  <c r="I94" i="17"/>
  <c r="I113" i="16"/>
  <c r="I122" i="16"/>
  <c r="I38" i="16"/>
  <c r="H98" i="19"/>
  <c r="H26" i="19"/>
  <c r="G38" i="16" s="1"/>
  <c r="K59" i="17" l="1"/>
  <c r="K109" i="17" s="1"/>
  <c r="I26" i="23"/>
  <c r="I21" i="23" l="1"/>
  <c r="K21" i="23"/>
  <c r="M39" i="13"/>
  <c r="I36" i="16" l="1"/>
  <c r="F43" i="40"/>
  <c r="F35" i="40"/>
  <c r="F22" i="40"/>
  <c r="F16" i="40"/>
  <c r="E47" i="39"/>
  <c r="E38" i="39"/>
  <c r="E28" i="39"/>
  <c r="E22" i="39"/>
  <c r="F24" i="40" l="1"/>
  <c r="F46" i="40" s="1"/>
  <c r="E30" i="39"/>
  <c r="E50" i="39" s="1"/>
  <c r="P32" i="19" l="1"/>
  <c r="O45" i="16" s="1"/>
  <c r="H90" i="19"/>
  <c r="Z33" i="43" l="1"/>
  <c r="C65" i="34" l="1"/>
  <c r="Z36" i="43" l="1"/>
  <c r="Z26" i="43"/>
  <c r="Z24" i="43"/>
  <c r="Z23" i="43"/>
  <c r="Z22" i="43"/>
  <c r="G22" i="23" l="1"/>
  <c r="G26" i="34"/>
  <c r="G48" i="34"/>
  <c r="G53" i="34"/>
  <c r="G16" i="34"/>
  <c r="M16" i="34" s="1"/>
  <c r="Q56" i="23" l="1"/>
  <c r="H24" i="45"/>
  <c r="H23" i="45"/>
  <c r="H21" i="45"/>
  <c r="H20" i="45"/>
  <c r="H19" i="45"/>
  <c r="H18" i="45"/>
  <c r="H17" i="45"/>
  <c r="H16" i="45"/>
  <c r="H15" i="45"/>
  <c r="H14" i="45"/>
  <c r="I14" i="45" s="1"/>
  <c r="H13" i="45"/>
  <c r="H11" i="45"/>
  <c r="I11" i="45" s="1"/>
  <c r="M42" i="25" l="1"/>
  <c r="M46" i="25" s="1"/>
  <c r="I51" i="23" l="1"/>
  <c r="I77" i="23"/>
  <c r="H57" i="19"/>
  <c r="G81" i="16" s="1"/>
  <c r="H41" i="19"/>
  <c r="G63" i="16" s="1"/>
  <c r="I55" i="23"/>
  <c r="I20" i="23"/>
  <c r="H33" i="19"/>
  <c r="G46" i="16" s="1"/>
  <c r="H25" i="19"/>
  <c r="G37" i="16" s="1"/>
  <c r="H75" i="19"/>
  <c r="H79" i="19"/>
  <c r="H27" i="19"/>
  <c r="H49" i="19"/>
  <c r="H72" i="19"/>
  <c r="I43" i="23"/>
  <c r="H73" i="19"/>
  <c r="I44" i="23"/>
  <c r="I25" i="23"/>
  <c r="G43" i="16" s="1"/>
  <c r="H34" i="19"/>
  <c r="I49" i="23"/>
  <c r="H32" i="19"/>
  <c r="G45" i="16" s="1"/>
  <c r="I52" i="23"/>
  <c r="I74" i="23"/>
  <c r="H24" i="19"/>
  <c r="G36" i="16" s="1"/>
  <c r="I84" i="23"/>
  <c r="H21" i="19"/>
  <c r="H77" i="19"/>
  <c r="G101" i="16" s="1"/>
  <c r="H105" i="19"/>
  <c r="G129" i="16" s="1"/>
  <c r="I57" i="23"/>
  <c r="H31" i="19"/>
  <c r="G44" i="16" s="1"/>
  <c r="H71" i="19"/>
  <c r="H115" i="19"/>
  <c r="H76" i="19"/>
  <c r="I54" i="23"/>
  <c r="I27" i="23"/>
  <c r="H53" i="19"/>
  <c r="H52" i="19"/>
  <c r="H96" i="19"/>
  <c r="H44" i="19"/>
  <c r="G67" i="16" s="1"/>
  <c r="H80" i="19"/>
  <c r="G104" i="16" s="1"/>
  <c r="I39" i="23"/>
  <c r="I30" i="23"/>
  <c r="G54" i="16" s="1"/>
  <c r="H74" i="19"/>
  <c r="G98" i="16" s="1"/>
  <c r="H61" i="19"/>
  <c r="W10" i="41"/>
  <c r="Y10" i="41" s="1"/>
  <c r="I10" i="41"/>
  <c r="O10" i="41" s="1"/>
  <c r="G10" i="41"/>
  <c r="M10" i="41" s="1"/>
  <c r="S10" i="41" s="1"/>
  <c r="E10" i="41"/>
  <c r="K10" i="41" s="1"/>
  <c r="Q10" i="41" s="1"/>
  <c r="A6" i="41"/>
  <c r="M10" i="40"/>
  <c r="AA10" i="41" s="1"/>
  <c r="C22" i="39"/>
  <c r="C28" i="39"/>
  <c r="C38" i="39"/>
  <c r="C47" i="39"/>
  <c r="B5" i="36"/>
  <c r="G33" i="16" l="1"/>
  <c r="G48" i="16"/>
  <c r="G76" i="16"/>
  <c r="G96" i="16"/>
  <c r="G99" i="16"/>
  <c r="G77" i="16"/>
  <c r="H17" i="19"/>
  <c r="G27" i="17"/>
  <c r="G39" i="17"/>
  <c r="G39" i="16"/>
  <c r="J83" i="19"/>
  <c r="K20" i="23"/>
  <c r="I78" i="23"/>
  <c r="G122" i="16" s="1"/>
  <c r="I37" i="23"/>
  <c r="G64" i="16" s="1"/>
  <c r="I73" i="23"/>
  <c r="I58" i="23"/>
  <c r="G100" i="16" s="1"/>
  <c r="I83" i="23"/>
  <c r="I27" i="17"/>
  <c r="I42" i="23"/>
  <c r="I46" i="23"/>
  <c r="I69" i="23"/>
  <c r="H67" i="19"/>
  <c r="G91" i="16" s="1"/>
  <c r="H60" i="19"/>
  <c r="I81" i="23"/>
  <c r="I56" i="23"/>
  <c r="G97" i="16" s="1"/>
  <c r="I70" i="23"/>
  <c r="G114" i="16" s="1"/>
  <c r="H93" i="19"/>
  <c r="H97" i="19"/>
  <c r="G121" i="16" s="1"/>
  <c r="I60" i="23"/>
  <c r="G103" i="16" s="1"/>
  <c r="H54" i="19"/>
  <c r="H102" i="19"/>
  <c r="H23" i="19"/>
  <c r="G35" i="16" s="1"/>
  <c r="H95" i="19"/>
  <c r="H46" i="19"/>
  <c r="G69" i="16" s="1"/>
  <c r="H63" i="19"/>
  <c r="G87" i="16" s="1"/>
  <c r="I59" i="23"/>
  <c r="I41" i="23"/>
  <c r="G73" i="16" s="1"/>
  <c r="I47" i="23"/>
  <c r="G85" i="16" s="1"/>
  <c r="H103" i="19"/>
  <c r="H64" i="19"/>
  <c r="G88" i="16" s="1"/>
  <c r="H106" i="19"/>
  <c r="G130" i="16" s="1"/>
  <c r="H89" i="19"/>
  <c r="H45" i="19"/>
  <c r="G68" i="16" s="1"/>
  <c r="I71" i="23"/>
  <c r="H70" i="19"/>
  <c r="G94" i="16" s="1"/>
  <c r="H94" i="19"/>
  <c r="G118" i="16" s="1"/>
  <c r="H69" i="19"/>
  <c r="G93" i="16" s="1"/>
  <c r="H66" i="19"/>
  <c r="G90" i="16" s="1"/>
  <c r="I45" i="23"/>
  <c r="I82" i="23"/>
  <c r="H114" i="19"/>
  <c r="I63" i="23"/>
  <c r="H91" i="19"/>
  <c r="H51" i="19"/>
  <c r="G75" i="16" s="1"/>
  <c r="H48" i="19"/>
  <c r="G72" i="16" s="1"/>
  <c r="H56" i="19"/>
  <c r="G80" i="16" s="1"/>
  <c r="H101" i="19"/>
  <c r="I50" i="23"/>
  <c r="H65" i="19"/>
  <c r="G89" i="16" s="1"/>
  <c r="H50" i="19"/>
  <c r="G74" i="16" s="1"/>
  <c r="I76" i="23"/>
  <c r="G120" i="16" s="1"/>
  <c r="H78" i="19"/>
  <c r="I75" i="23"/>
  <c r="H43" i="19"/>
  <c r="G66" i="16" s="1"/>
  <c r="C30" i="39"/>
  <c r="C50" i="39" s="1"/>
  <c r="C52" i="39" s="1"/>
  <c r="E12" i="39" s="1"/>
  <c r="E52" i="39" s="1"/>
  <c r="A7" i="31"/>
  <c r="A6" i="32" s="1"/>
  <c r="A6" i="33" s="1"/>
  <c r="G12" i="39" l="1"/>
  <c r="G52" i="39" s="1"/>
  <c r="I12" i="39" s="1"/>
  <c r="I52" i="39" s="1"/>
  <c r="G125" i="16"/>
  <c r="G102" i="16"/>
  <c r="G117" i="16"/>
  <c r="G127" i="16"/>
  <c r="G78" i="16"/>
  <c r="G115" i="16"/>
  <c r="G113" i="16"/>
  <c r="G119" i="16"/>
  <c r="G126" i="16"/>
  <c r="G84" i="16"/>
  <c r="I33" i="16"/>
  <c r="J17" i="19"/>
  <c r="Z31" i="43" l="1"/>
  <c r="K14" i="30" l="1"/>
  <c r="AJ21" i="21"/>
  <c r="P75" i="19"/>
  <c r="AI84" i="23"/>
  <c r="AI48" i="22"/>
  <c r="AI92" i="23"/>
  <c r="P25" i="19"/>
  <c r="O37" i="16" s="1"/>
  <c r="P20" i="19"/>
  <c r="O32" i="16" s="1"/>
  <c r="Q84" i="23"/>
  <c r="P60" i="19"/>
  <c r="AG20" i="19"/>
  <c r="Q69" i="23"/>
  <c r="P17" i="19"/>
  <c r="O27" i="16" s="1"/>
  <c r="P30" i="19"/>
  <c r="P96" i="19"/>
  <c r="AG21" i="19"/>
  <c r="AI21" i="23"/>
  <c r="P56" i="19"/>
  <c r="O80" i="16" s="1"/>
  <c r="P21" i="19"/>
  <c r="Q60" i="23"/>
  <c r="AI27" i="23"/>
  <c r="P71" i="19"/>
  <c r="P34" i="19"/>
  <c r="Q25" i="23"/>
  <c r="AF22" i="18"/>
  <c r="AE21" i="16"/>
  <c r="AD16" i="15" s="1"/>
  <c r="AK85" i="18"/>
  <c r="P69" i="19"/>
  <c r="AE25" i="16"/>
  <c r="P105" i="19"/>
  <c r="O129" i="16" s="1"/>
  <c r="Q20" i="23"/>
  <c r="P26" i="19"/>
  <c r="P31" i="19"/>
  <c r="AL56" i="24"/>
  <c r="P76" i="19"/>
  <c r="AG35" i="20"/>
  <c r="F50" i="2"/>
  <c r="Q22" i="23"/>
  <c r="Q45" i="23"/>
  <c r="Q27" i="23"/>
  <c r="P61" i="19"/>
  <c r="AL38" i="25"/>
  <c r="P24" i="19"/>
  <c r="O36" i="16" s="1"/>
  <c r="AL73" i="20"/>
  <c r="AL74" i="25"/>
  <c r="Q26" i="23"/>
  <c r="P97" i="19"/>
  <c r="Q83" i="23"/>
  <c r="F28" i="2"/>
  <c r="P48" i="19"/>
  <c r="O72" i="16" s="1"/>
  <c r="Q73" i="23"/>
  <c r="AG27" i="24"/>
  <c r="P79" i="19"/>
  <c r="Q59" i="23"/>
  <c r="Q78" i="23"/>
  <c r="AL55" i="24"/>
  <c r="Q55" i="23"/>
  <c r="Q57" i="23"/>
  <c r="Q71" i="23"/>
  <c r="P114" i="19"/>
  <c r="P33" i="19"/>
  <c r="O46" i="16" s="1"/>
  <c r="P94" i="19"/>
  <c r="Q30" i="23"/>
  <c r="O54" i="16" s="1"/>
  <c r="Q44" i="23"/>
  <c r="Q42" i="23"/>
  <c r="P27" i="19"/>
  <c r="P49" i="19"/>
  <c r="P102" i="19"/>
  <c r="Q63" i="23"/>
  <c r="V16" i="15"/>
  <c r="P59" i="19"/>
  <c r="O83" i="16" s="1"/>
  <c r="P54" i="19"/>
  <c r="P41" i="19"/>
  <c r="O63" i="16" s="1"/>
  <c r="X96" i="18"/>
  <c r="O78" i="16" l="1"/>
  <c r="O43" i="16"/>
  <c r="O33" i="16"/>
  <c r="O44" i="16"/>
  <c r="O48" i="16"/>
  <c r="O38" i="16"/>
  <c r="O39" i="16"/>
  <c r="O39" i="17"/>
  <c r="O99" i="16"/>
  <c r="O103" i="16"/>
  <c r="Q94" i="23"/>
  <c r="Q52" i="23"/>
  <c r="Q58" i="23"/>
  <c r="O100" i="16" s="1"/>
  <c r="Q47" i="23"/>
  <c r="O85" i="16" s="1"/>
  <c r="Q75" i="23"/>
  <c r="P91" i="19"/>
  <c r="O115" i="16" s="1"/>
  <c r="Q51" i="23"/>
  <c r="Q82" i="23"/>
  <c r="O126" i="16" s="1"/>
  <c r="P77" i="19"/>
  <c r="O101" i="16" s="1"/>
  <c r="P64" i="19"/>
  <c r="O88" i="16" s="1"/>
  <c r="P93" i="19"/>
  <c r="O117" i="16" s="1"/>
  <c r="P83" i="19"/>
  <c r="O107" i="16" s="1"/>
  <c r="Q41" i="23"/>
  <c r="O73" i="16" s="1"/>
  <c r="Q70" i="23"/>
  <c r="P44" i="19"/>
  <c r="O67" i="16" s="1"/>
  <c r="P53" i="19"/>
  <c r="O77" i="16" s="1"/>
  <c r="P57" i="19"/>
  <c r="O81" i="16" s="1"/>
  <c r="P63" i="19"/>
  <c r="Q76" i="23"/>
  <c r="O120" i="16" s="1"/>
  <c r="P106" i="19"/>
  <c r="O130" i="16" s="1"/>
  <c r="P103" i="19"/>
  <c r="O127" i="16" s="1"/>
  <c r="Q39" i="23"/>
  <c r="P67" i="19"/>
  <c r="P74" i="19"/>
  <c r="O98" i="16" s="1"/>
  <c r="P95" i="19"/>
  <c r="P52" i="19"/>
  <c r="P43" i="19"/>
  <c r="P46" i="19"/>
  <c r="O69" i="16" s="1"/>
  <c r="P50" i="19"/>
  <c r="O74" i="16" s="1"/>
  <c r="P90" i="19"/>
  <c r="P65" i="19"/>
  <c r="O89" i="16" s="1"/>
  <c r="Q23" i="23"/>
  <c r="Q31" i="23"/>
  <c r="Q46" i="23"/>
  <c r="O84" i="16" s="1"/>
  <c r="Q54" i="23"/>
  <c r="O93" i="16" s="1"/>
  <c r="Q74" i="23"/>
  <c r="O118" i="16" s="1"/>
  <c r="Q28" i="23"/>
  <c r="P98" i="19"/>
  <c r="O122" i="16" s="1"/>
  <c r="P73" i="19"/>
  <c r="O97" i="16" s="1"/>
  <c r="P72" i="19"/>
  <c r="O96" i="16" s="1"/>
  <c r="P35" i="19"/>
  <c r="Q77" i="23"/>
  <c r="O121" i="16" s="1"/>
  <c r="Q43" i="23"/>
  <c r="Q81" i="23"/>
  <c r="O125" i="16" s="1"/>
  <c r="P80" i="19"/>
  <c r="O104" i="16" s="1"/>
  <c r="P78" i="19"/>
  <c r="O102" i="16" s="1"/>
  <c r="P115" i="19"/>
  <c r="P117" i="19" s="1"/>
  <c r="Q37" i="23"/>
  <c r="O64" i="16" s="1"/>
  <c r="P45" i="19"/>
  <c r="O68" i="16" s="1"/>
  <c r="Q49" i="23"/>
  <c r="P51" i="19"/>
  <c r="O75" i="16" s="1"/>
  <c r="P23" i="19"/>
  <c r="O35" i="16" s="1"/>
  <c r="P66" i="19"/>
  <c r="F49" i="2"/>
  <c r="Q93" i="23"/>
  <c r="Q50" i="23"/>
  <c r="P89" i="19"/>
  <c r="O113" i="16" s="1"/>
  <c r="D43" i="40"/>
  <c r="M42" i="40"/>
  <c r="M39" i="40"/>
  <c r="M38" i="40"/>
  <c r="M34" i="40"/>
  <c r="M33" i="40"/>
  <c r="M32" i="40"/>
  <c r="M31" i="40"/>
  <c r="M29" i="40"/>
  <c r="M28" i="40"/>
  <c r="M21" i="40"/>
  <c r="M20" i="40"/>
  <c r="M19" i="40"/>
  <c r="M15" i="40"/>
  <c r="L46" i="39"/>
  <c r="L45" i="39"/>
  <c r="L44" i="39"/>
  <c r="L42" i="39"/>
  <c r="L41" i="39"/>
  <c r="L37" i="39"/>
  <c r="L35" i="39"/>
  <c r="L34" i="39"/>
  <c r="L27" i="39"/>
  <c r="L26" i="39"/>
  <c r="L25" i="39"/>
  <c r="L16" i="39"/>
  <c r="L17" i="39"/>
  <c r="L18" i="39"/>
  <c r="L19" i="39"/>
  <c r="L20" i="39"/>
  <c r="L21" i="39"/>
  <c r="L12" i="39"/>
  <c r="O90" i="16" l="1"/>
  <c r="O66" i="16"/>
  <c r="O76" i="16"/>
  <c r="O119" i="16"/>
  <c r="O91" i="16"/>
  <c r="O87" i="16"/>
  <c r="O114" i="16"/>
  <c r="Q96" i="23"/>
  <c r="Q33" i="23"/>
  <c r="Q79" i="23"/>
  <c r="Q86" i="23" s="1"/>
  <c r="P28" i="19"/>
  <c r="P37" i="19" s="1"/>
  <c r="Q61" i="23"/>
  <c r="P99" i="19"/>
  <c r="P108" i="19" s="1"/>
  <c r="P70" i="19"/>
  <c r="O94" i="16" s="1"/>
  <c r="M189" i="42"/>
  <c r="Q65" i="23" l="1"/>
  <c r="Q89" i="23" s="1"/>
  <c r="P81" i="19"/>
  <c r="P85" i="19" s="1"/>
  <c r="P111" i="19" s="1"/>
  <c r="P121" i="19" s="1"/>
  <c r="Q60" i="25"/>
  <c r="M41" i="40" l="1"/>
  <c r="G7" i="45" l="1"/>
  <c r="C7" i="45"/>
  <c r="L37" i="43" l="1"/>
  <c r="Z20" i="43" l="1"/>
  <c r="I24" i="45" l="1"/>
  <c r="I22" i="45"/>
  <c r="I23" i="45"/>
  <c r="I18" i="45"/>
  <c r="I21" i="45"/>
  <c r="I20" i="45"/>
  <c r="I19" i="45"/>
  <c r="I17" i="45"/>
  <c r="I16" i="45"/>
  <c r="I15" i="45"/>
  <c r="I13" i="45"/>
  <c r="H25" i="45"/>
  <c r="E18" i="45"/>
  <c r="E24" i="45"/>
  <c r="E20" i="45"/>
  <c r="E19" i="45"/>
  <c r="E17" i="45"/>
  <c r="E16" i="45"/>
  <c r="E15" i="45"/>
  <c r="E14" i="45"/>
  <c r="E13" i="45"/>
  <c r="AD14" i="24" l="1"/>
  <c r="X93" i="18"/>
  <c r="G25" i="45"/>
  <c r="I12" i="45"/>
  <c r="I25" i="45" l="1"/>
  <c r="E12" i="45"/>
  <c r="E11" i="45"/>
  <c r="I27" i="45"/>
  <c r="I31" i="44" l="1"/>
  <c r="I37" i="44"/>
  <c r="I32" i="44"/>
  <c r="I42" i="44"/>
  <c r="I38" i="44"/>
  <c r="I27" i="44"/>
  <c r="I25" i="44"/>
  <c r="I21" i="44"/>
  <c r="I41" i="44"/>
  <c r="I40" i="44"/>
  <c r="I39" i="44"/>
  <c r="I35" i="44"/>
  <c r="I34" i="44"/>
  <c r="I33" i="44"/>
  <c r="I30" i="44"/>
  <c r="I29" i="44"/>
  <c r="I28" i="44"/>
  <c r="I26" i="44"/>
  <c r="I23" i="44"/>
  <c r="I22" i="44"/>
  <c r="I20" i="44"/>
  <c r="I19" i="44"/>
  <c r="I18" i="44"/>
  <c r="I17" i="44"/>
  <c r="I15" i="44"/>
  <c r="I13" i="44"/>
  <c r="I11" i="44"/>
  <c r="E38" i="44"/>
  <c r="E27" i="44"/>
  <c r="E25" i="44"/>
  <c r="E21" i="44"/>
  <c r="E45" i="44"/>
  <c r="E19" i="44"/>
  <c r="E32" i="44"/>
  <c r="E42" i="44"/>
  <c r="E39" i="44"/>
  <c r="E41" i="44"/>
  <c r="E40" i="44"/>
  <c r="E37" i="44"/>
  <c r="E35" i="44"/>
  <c r="E34" i="44"/>
  <c r="E33" i="44"/>
  <c r="E30" i="44"/>
  <c r="E29" i="44"/>
  <c r="E28" i="44"/>
  <c r="E26" i="44"/>
  <c r="E23" i="44"/>
  <c r="E22" i="44"/>
  <c r="E20" i="44"/>
  <c r="E15" i="44"/>
  <c r="E17" i="44"/>
  <c r="E13" i="44"/>
  <c r="E12" i="44"/>
  <c r="E11" i="44"/>
  <c r="I14" i="44" l="1"/>
  <c r="E14" i="44"/>
  <c r="E36" i="44"/>
  <c r="E24" i="44"/>
  <c r="I36" i="44"/>
  <c r="D43" i="44"/>
  <c r="E18" i="44"/>
  <c r="H43" i="44"/>
  <c r="M43" i="40" l="1"/>
  <c r="L93" i="18" l="1"/>
  <c r="E41" i="10" l="1"/>
  <c r="F33" i="19" l="1"/>
  <c r="C41" i="10"/>
  <c r="F23" i="19" l="1"/>
  <c r="E35" i="17"/>
  <c r="E25" i="41"/>
  <c r="G26" i="23" l="1"/>
  <c r="E125" i="17"/>
  <c r="E35" i="16"/>
  <c r="E64" i="17"/>
  <c r="E22" i="16"/>
  <c r="E22" i="17"/>
  <c r="X17" i="43"/>
  <c r="V17" i="43"/>
  <c r="T17" i="43"/>
  <c r="R17" i="43"/>
  <c r="P17" i="43"/>
  <c r="N17" i="43"/>
  <c r="L17" i="43"/>
  <c r="J17" i="43"/>
  <c r="H17" i="43"/>
  <c r="F17" i="43"/>
  <c r="D17" i="43"/>
  <c r="B17" i="43"/>
  <c r="P22" i="18" l="1"/>
  <c r="P26" i="18" l="1"/>
  <c r="P93" i="18"/>
  <c r="P36" i="18"/>
  <c r="P44" i="18"/>
  <c r="P52" i="18"/>
  <c r="P111" i="18"/>
  <c r="P117" i="18" s="1"/>
  <c r="P54" i="18" l="1"/>
  <c r="W35" i="41" l="1"/>
  <c r="AC9" i="21" l="1"/>
  <c r="D25" i="32" l="1"/>
  <c r="C28" i="31"/>
  <c r="E21" i="17"/>
  <c r="E21" i="16"/>
  <c r="H29" i="45"/>
  <c r="D105" i="19" l="1"/>
  <c r="F20" i="19"/>
  <c r="F30" i="19"/>
  <c r="H47" i="44"/>
  <c r="D47" i="44"/>
  <c r="F74" i="19" l="1"/>
  <c r="F97" i="19"/>
  <c r="F34" i="19"/>
  <c r="AF93" i="18"/>
  <c r="E94" i="17"/>
  <c r="E130" i="17"/>
  <c r="F77" i="19"/>
  <c r="E101" i="16" s="1"/>
  <c r="F26" i="19"/>
  <c r="AK31" i="18"/>
  <c r="F71" i="19"/>
  <c r="E99" i="17"/>
  <c r="F25" i="19"/>
  <c r="F27" i="19"/>
  <c r="E97" i="17"/>
  <c r="F65" i="19"/>
  <c r="E89" i="16" s="1"/>
  <c r="AE39" i="17"/>
  <c r="F21" i="19"/>
  <c r="F54" i="19"/>
  <c r="AG105" i="19"/>
  <c r="AE129" i="16" s="1"/>
  <c r="AK43" i="18"/>
  <c r="F76" i="19"/>
  <c r="F63" i="19"/>
  <c r="F101" i="19"/>
  <c r="F51" i="19"/>
  <c r="E93" i="17"/>
  <c r="F24" i="19"/>
  <c r="R32" i="11"/>
  <c r="F105" i="19"/>
  <c r="AD105" i="19" s="1"/>
  <c r="J40" i="2" s="1"/>
  <c r="AJ76" i="21"/>
  <c r="AL76" i="21" s="1"/>
  <c r="F32" i="19"/>
  <c r="E45" i="16" s="1"/>
  <c r="F45" i="19"/>
  <c r="F69" i="19"/>
  <c r="F17" i="19"/>
  <c r="F53" i="19"/>
  <c r="F48" i="19"/>
  <c r="E72" i="16" s="1"/>
  <c r="E72" i="17"/>
  <c r="F59" i="19"/>
  <c r="E83" i="16" s="1"/>
  <c r="E83" i="17"/>
  <c r="F60" i="19"/>
  <c r="F22" i="19"/>
  <c r="E34" i="17"/>
  <c r="F56" i="19"/>
  <c r="E80" i="16" s="1"/>
  <c r="E80" i="17"/>
  <c r="F93" i="19"/>
  <c r="F80" i="19"/>
  <c r="E104" i="16" s="1"/>
  <c r="E104" i="17"/>
  <c r="F98" i="19"/>
  <c r="F57" i="19"/>
  <c r="E81" i="16" s="1"/>
  <c r="E81" i="17"/>
  <c r="F90" i="19"/>
  <c r="E23" i="16"/>
  <c r="E23" i="17"/>
  <c r="E101" i="17"/>
  <c r="E54" i="17"/>
  <c r="E24" i="16"/>
  <c r="E24" i="17"/>
  <c r="E33" i="17"/>
  <c r="E89" i="17"/>
  <c r="E51" i="16"/>
  <c r="E51" i="17"/>
  <c r="E66" i="17"/>
  <c r="E32" i="17"/>
  <c r="E43" i="17"/>
  <c r="E55" i="16"/>
  <c r="E55" i="17"/>
  <c r="E53" i="17"/>
  <c r="E53" i="16"/>
  <c r="E48" i="17"/>
  <c r="P97" i="18"/>
  <c r="P120" i="18" s="1"/>
  <c r="G32" i="10" l="1"/>
  <c r="K32" i="10" s="1"/>
  <c r="G107" i="17"/>
  <c r="G20" i="23"/>
  <c r="E33" i="16" s="1"/>
  <c r="E91" i="17"/>
  <c r="AI46" i="23"/>
  <c r="G49" i="23"/>
  <c r="E87" i="16" s="1"/>
  <c r="G25" i="23"/>
  <c r="E43" i="16" s="1"/>
  <c r="E129" i="16"/>
  <c r="E139" i="17"/>
  <c r="AG44" i="22"/>
  <c r="AI44" i="22" s="1"/>
  <c r="E71" i="16"/>
  <c r="E76" i="17"/>
  <c r="G60" i="23"/>
  <c r="AA54" i="22"/>
  <c r="G57" i="23"/>
  <c r="G30" i="23"/>
  <c r="E54" i="16" s="1"/>
  <c r="G51" i="23"/>
  <c r="G81" i="23"/>
  <c r="E125" i="16" s="1"/>
  <c r="AE56" i="16"/>
  <c r="AD54" i="15" s="1"/>
  <c r="AE87" i="17"/>
  <c r="E84" i="17"/>
  <c r="E75" i="16"/>
  <c r="G78" i="23"/>
  <c r="E122" i="16" s="1"/>
  <c r="G46" i="23"/>
  <c r="E73" i="17"/>
  <c r="G84" i="23"/>
  <c r="G54" i="23"/>
  <c r="E93" i="16" s="1"/>
  <c r="G21" i="23"/>
  <c r="E36" i="16" s="1"/>
  <c r="G27" i="23"/>
  <c r="E48" i="16" s="1"/>
  <c r="G69" i="23"/>
  <c r="AL91" i="24"/>
  <c r="G75" i="23"/>
  <c r="G59" i="23"/>
  <c r="G39" i="23"/>
  <c r="G44" i="23"/>
  <c r="I94" i="23"/>
  <c r="E77" i="17"/>
  <c r="G77" i="23"/>
  <c r="E121" i="16" s="1"/>
  <c r="H83" i="19"/>
  <c r="G107" i="16" s="1"/>
  <c r="F50" i="19"/>
  <c r="E74" i="16" s="1"/>
  <c r="F106" i="19"/>
  <c r="E45" i="17"/>
  <c r="E28" i="17"/>
  <c r="E32" i="16"/>
  <c r="E39" i="16"/>
  <c r="E98" i="16"/>
  <c r="F67" i="19"/>
  <c r="F72" i="19"/>
  <c r="F66" i="19"/>
  <c r="E68" i="17"/>
  <c r="E78" i="17"/>
  <c r="E88" i="17"/>
  <c r="E69" i="17"/>
  <c r="E56" i="17"/>
  <c r="E29" i="17"/>
  <c r="E56" i="16"/>
  <c r="E40" i="16"/>
  <c r="E29" i="16"/>
  <c r="E40" i="17"/>
  <c r="E36" i="17"/>
  <c r="G37" i="23"/>
  <c r="E64" i="16" s="1"/>
  <c r="E68" i="16"/>
  <c r="F78" i="19"/>
  <c r="F52" i="19"/>
  <c r="E37" i="16"/>
  <c r="F44" i="19"/>
  <c r="E67" i="16" s="1"/>
  <c r="E74" i="17"/>
  <c r="E46" i="16"/>
  <c r="E39" i="17"/>
  <c r="E98" i="17"/>
  <c r="G52" i="23"/>
  <c r="E102" i="17"/>
  <c r="E67" i="17"/>
  <c r="E103" i="17"/>
  <c r="E100" i="17"/>
  <c r="E37" i="17"/>
  <c r="E46" i="17"/>
  <c r="E129" i="17"/>
  <c r="F61" i="19"/>
  <c r="E28" i="16"/>
  <c r="F91" i="19"/>
  <c r="F49" i="19"/>
  <c r="F75" i="19"/>
  <c r="G63" i="23"/>
  <c r="F41" i="19"/>
  <c r="E63" i="16" s="1"/>
  <c r="F64" i="19"/>
  <c r="E88" i="16" s="1"/>
  <c r="F95" i="19"/>
  <c r="E87" i="17"/>
  <c r="E85" i="17"/>
  <c r="E25" i="16"/>
  <c r="E96" i="17"/>
  <c r="E25" i="17"/>
  <c r="E38" i="17"/>
  <c r="E38" i="16"/>
  <c r="E90" i="17"/>
  <c r="E52" i="16"/>
  <c r="E52" i="17"/>
  <c r="F73" i="19"/>
  <c r="F70" i="19"/>
  <c r="E94" i="16" s="1"/>
  <c r="F46" i="19"/>
  <c r="E69" i="16" s="1"/>
  <c r="F43" i="19"/>
  <c r="F79" i="19"/>
  <c r="F31" i="19"/>
  <c r="E44" i="16" s="1"/>
  <c r="E44" i="17"/>
  <c r="G42" i="23"/>
  <c r="F103" i="19"/>
  <c r="F115" i="19"/>
  <c r="F102" i="19"/>
  <c r="F114" i="19"/>
  <c r="F83" i="19"/>
  <c r="E63" i="17"/>
  <c r="E27" i="17"/>
  <c r="F94" i="19"/>
  <c r="E118" i="17"/>
  <c r="F89" i="19"/>
  <c r="E113" i="17"/>
  <c r="F96" i="19"/>
  <c r="E120" i="17"/>
  <c r="E34" i="16"/>
  <c r="E122" i="17"/>
  <c r="E115" i="17"/>
  <c r="E117" i="17"/>
  <c r="E119" i="17"/>
  <c r="E127" i="17"/>
  <c r="E121" i="17"/>
  <c r="E126" i="17"/>
  <c r="E114" i="17"/>
  <c r="AJ105" i="19"/>
  <c r="AL105" i="19" s="1"/>
  <c r="P134" i="18"/>
  <c r="P138" i="18" s="1"/>
  <c r="Z17" i="43"/>
  <c r="Z27" i="43"/>
  <c r="AA65" i="22" l="1"/>
  <c r="AA75" i="22" s="1"/>
  <c r="E103" i="16"/>
  <c r="I93" i="23"/>
  <c r="E90" i="16"/>
  <c r="E99" i="16"/>
  <c r="E107" i="17"/>
  <c r="E71" i="17"/>
  <c r="G47" i="23"/>
  <c r="E85" i="16" s="1"/>
  <c r="G74" i="23"/>
  <c r="E118" i="16" s="1"/>
  <c r="G94" i="23"/>
  <c r="E130" i="16"/>
  <c r="G41" i="23"/>
  <c r="E73" i="16" s="1"/>
  <c r="G82" i="23"/>
  <c r="E126" i="16" s="1"/>
  <c r="G58" i="23"/>
  <c r="E100" i="16" s="1"/>
  <c r="G73" i="23"/>
  <c r="E117" i="16" s="1"/>
  <c r="G45" i="23"/>
  <c r="E78" i="16" s="1"/>
  <c r="E77" i="16"/>
  <c r="E84" i="16"/>
  <c r="E75" i="17"/>
  <c r="G70" i="23"/>
  <c r="E114" i="16" s="1"/>
  <c r="G71" i="23"/>
  <c r="E115" i="16" s="1"/>
  <c r="G43" i="23"/>
  <c r="E76" i="16" s="1"/>
  <c r="G83" i="23"/>
  <c r="E127" i="16" s="1"/>
  <c r="G76" i="23"/>
  <c r="E120" i="16" s="1"/>
  <c r="E102" i="16"/>
  <c r="G93" i="23"/>
  <c r="G56" i="23"/>
  <c r="E97" i="16" s="1"/>
  <c r="G50" i="23"/>
  <c r="G55" i="23"/>
  <c r="E96" i="16" s="1"/>
  <c r="E91" i="16"/>
  <c r="E119" i="16"/>
  <c r="E66" i="16"/>
  <c r="E138" i="17"/>
  <c r="E113" i="16"/>
  <c r="E107" i="16" l="1"/>
  <c r="I107" i="17" l="1"/>
  <c r="I107" i="16"/>
  <c r="B6" i="24"/>
  <c r="R33" i="11" l="1"/>
  <c r="J33" i="37" l="1"/>
  <c r="M25" i="41"/>
  <c r="P99" i="20" l="1"/>
  <c r="P106" i="20" s="1"/>
  <c r="P115" i="20"/>
  <c r="K25" i="41"/>
  <c r="I123" i="17" l="1"/>
  <c r="I132" i="17" s="1"/>
  <c r="Y23" i="26" l="1"/>
  <c r="J55" i="15" l="1"/>
  <c r="H55" i="15"/>
  <c r="X27" i="22" l="1"/>
  <c r="V27" i="22"/>
  <c r="R27" i="22"/>
  <c r="Y57" i="16" l="1"/>
  <c r="Y57" i="17"/>
  <c r="Z52" i="18" l="1"/>
  <c r="M12" i="40" l="1"/>
  <c r="X52" i="18" l="1"/>
  <c r="W33" i="26"/>
  <c r="M22" i="40"/>
  <c r="D37" i="43"/>
  <c r="Z35" i="43"/>
  <c r="AI77" i="18" l="1"/>
  <c r="AK77" i="18" s="1"/>
  <c r="W57" i="16"/>
  <c r="W57" i="17"/>
  <c r="D21" i="19" l="1"/>
  <c r="D34" i="19"/>
  <c r="D59" i="19"/>
  <c r="T52" i="18" l="1"/>
  <c r="C25" i="16"/>
  <c r="I141" i="17" l="1"/>
  <c r="P27" i="22"/>
  <c r="S57" i="16" l="1"/>
  <c r="AC9" i="20"/>
  <c r="AE28" i="16" l="1"/>
  <c r="AE56" i="17"/>
  <c r="D27" i="22"/>
  <c r="R21" i="15"/>
  <c r="P21" i="15"/>
  <c r="N21" i="15"/>
  <c r="L21" i="15"/>
  <c r="J21" i="15"/>
  <c r="H21" i="15"/>
  <c r="X22" i="18"/>
  <c r="T22" i="18"/>
  <c r="F52" i="18" l="1"/>
  <c r="Y95" i="24"/>
  <c r="M192" i="42" l="1"/>
  <c r="T27" i="22" l="1"/>
  <c r="L17" i="2" s="1"/>
  <c r="M190" i="42"/>
  <c r="AC36" i="18" l="1"/>
  <c r="D56" i="19"/>
  <c r="D25" i="19"/>
  <c r="D60" i="19"/>
  <c r="AG27" i="19"/>
  <c r="AE39" i="16" s="1"/>
  <c r="D80" i="19"/>
  <c r="D73" i="19"/>
  <c r="D78" i="19"/>
  <c r="D114" i="19"/>
  <c r="AD114" i="19" s="1"/>
  <c r="D54" i="19"/>
  <c r="D45" i="32"/>
  <c r="D44" i="19"/>
  <c r="D32" i="19"/>
  <c r="D61" i="19"/>
  <c r="D27" i="19"/>
  <c r="AJ27" i="20"/>
  <c r="AL27" i="20" s="1"/>
  <c r="D69" i="19"/>
  <c r="D22" i="19"/>
  <c r="AI35" i="18"/>
  <c r="AK35" i="18" s="1"/>
  <c r="F36" i="15"/>
  <c r="X36" i="15" s="1"/>
  <c r="D43" i="19"/>
  <c r="D91" i="19"/>
  <c r="D31" i="19"/>
  <c r="D33" i="19"/>
  <c r="C56" i="16"/>
  <c r="AI34" i="18"/>
  <c r="F35" i="15"/>
  <c r="D17" i="32"/>
  <c r="D48" i="19"/>
  <c r="D79" i="19"/>
  <c r="D52" i="19"/>
  <c r="D23" i="19"/>
  <c r="D96" i="19"/>
  <c r="D46" i="19"/>
  <c r="D26" i="19"/>
  <c r="D77" i="19"/>
  <c r="D89" i="19"/>
  <c r="AE40" i="17"/>
  <c r="AE40" i="16"/>
  <c r="AD36" i="15" s="1"/>
  <c r="D24" i="19"/>
  <c r="D53" i="19"/>
  <c r="D75" i="19"/>
  <c r="D63" i="19"/>
  <c r="D30" i="19"/>
  <c r="D64" i="19"/>
  <c r="D71" i="19"/>
  <c r="AD71" i="19" s="1"/>
  <c r="D41" i="19"/>
  <c r="D20" i="19"/>
  <c r="AD20" i="19" s="1"/>
  <c r="D106" i="19"/>
  <c r="D57" i="19"/>
  <c r="D66" i="19"/>
  <c r="AK34" i="18"/>
  <c r="D50" i="19"/>
  <c r="D76" i="19"/>
  <c r="D72" i="19"/>
  <c r="C22" i="17"/>
  <c r="D103" i="19"/>
  <c r="D102" i="19"/>
  <c r="D17" i="19"/>
  <c r="B27" i="22"/>
  <c r="D83" i="19"/>
  <c r="V22" i="18"/>
  <c r="V52" i="18"/>
  <c r="D17" i="2" s="1"/>
  <c r="H21" i="36"/>
  <c r="J28" i="15" l="1"/>
  <c r="AD27" i="19"/>
  <c r="J35" i="15" s="1"/>
  <c r="X35" i="15" s="1"/>
  <c r="V35" i="15"/>
  <c r="AH36" i="15"/>
  <c r="AJ36" i="15" s="1"/>
  <c r="AD35" i="15"/>
  <c r="C39" i="17"/>
  <c r="AB39" i="17" s="1"/>
  <c r="AH39" i="17" s="1"/>
  <c r="AJ39" i="17" s="1"/>
  <c r="D48" i="32"/>
  <c r="D74" i="19"/>
  <c r="D94" i="19"/>
  <c r="D45" i="19"/>
  <c r="D98" i="19"/>
  <c r="D97" i="19"/>
  <c r="D93" i="19"/>
  <c r="C130" i="17"/>
  <c r="D51" i="19"/>
  <c r="D95" i="19"/>
  <c r="D65" i="19"/>
  <c r="C56" i="17"/>
  <c r="D52" i="18"/>
  <c r="D70" i="19"/>
  <c r="D115" i="19"/>
  <c r="AD115" i="19" s="1"/>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AJ27" i="19" l="1"/>
  <c r="AL27" i="19" s="1"/>
  <c r="AH35" i="15"/>
  <c r="AJ35" i="15" s="1"/>
  <c r="D13" i="33"/>
  <c r="N27" i="22" l="1"/>
  <c r="AB8" i="18"/>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X13" i="15" l="1"/>
  <c r="L15" i="6"/>
  <c r="L15" i="5"/>
  <c r="AA23" i="41"/>
  <c r="D35" i="40" l="1"/>
  <c r="D22" i="40"/>
  <c r="D16" i="40"/>
  <c r="D24" i="40" l="1"/>
  <c r="D46" i="40" s="1"/>
  <c r="AI87" i="18" l="1"/>
  <c r="R22" i="18"/>
  <c r="Q26" i="16" l="1"/>
  <c r="H51" i="2"/>
  <c r="P62" i="22"/>
  <c r="R52" i="18"/>
  <c r="N41" i="43"/>
  <c r="Q57" i="16" l="1"/>
  <c r="Q57" i="17"/>
  <c r="L27" i="22" l="1"/>
  <c r="O60" i="24"/>
  <c r="N52" i="18"/>
  <c r="N22" i="18"/>
  <c r="M44" i="26"/>
  <c r="O60" i="25"/>
  <c r="O67" i="25" s="1"/>
  <c r="O42" i="25"/>
  <c r="L71" i="22"/>
  <c r="N88" i="21"/>
  <c r="N99" i="20"/>
  <c r="N106" i="20" s="1"/>
  <c r="N35" i="20"/>
  <c r="N28" i="20"/>
  <c r="N134" i="18"/>
  <c r="N93"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J95" i="17" l="1"/>
  <c r="N23" i="15" l="1"/>
  <c r="F22" i="18"/>
  <c r="E44" i="26"/>
  <c r="E57" i="16" l="1"/>
  <c r="E57" i="17"/>
  <c r="E49" i="16"/>
  <c r="G25" i="41"/>
  <c r="R33" i="37" l="1"/>
  <c r="C126" i="17" l="1"/>
  <c r="M16" i="40"/>
  <c r="M35" i="40" l="1"/>
  <c r="M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A42" i="12" l="1"/>
  <c r="W26" i="17" l="1"/>
  <c r="W23" i="26"/>
  <c r="W26" i="1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3" i="37" l="1"/>
  <c r="AE22" i="16"/>
  <c r="F23" i="15"/>
  <c r="V23" i="15"/>
  <c r="AD27" i="22"/>
  <c r="AD29" i="22" s="1"/>
  <c r="AC52" i="18"/>
  <c r="AF52" i="18"/>
  <c r="AA42" i="3"/>
  <c r="J42" i="3"/>
  <c r="T42" i="3" s="1"/>
  <c r="F27" i="22"/>
  <c r="C21" i="17"/>
  <c r="C21" i="16"/>
  <c r="AB21" i="16" s="1"/>
  <c r="E35" i="41"/>
  <c r="C35" i="41"/>
  <c r="AA34" i="41"/>
  <c r="AA33" i="41"/>
  <c r="AA32" i="41"/>
  <c r="AA31" i="41"/>
  <c r="AA30" i="41"/>
  <c r="C25" i="41"/>
  <c r="AA24" i="41"/>
  <c r="AA22" i="41"/>
  <c r="AA21" i="41"/>
  <c r="AA20" i="41"/>
  <c r="AA19" i="41"/>
  <c r="AA17" i="41"/>
  <c r="AA16" i="41"/>
  <c r="AA15" i="41"/>
  <c r="AA14" i="41"/>
  <c r="L55" i="15" l="1"/>
  <c r="H22" i="18"/>
  <c r="I60" i="24"/>
  <c r="AD42" i="3"/>
  <c r="AF42" i="3" s="1"/>
  <c r="AB130" i="17"/>
  <c r="R42" i="3"/>
  <c r="H52" i="18"/>
  <c r="E38" i="41"/>
  <c r="AA25" i="41"/>
  <c r="C38" i="41"/>
  <c r="AA35" i="41"/>
  <c r="G57" i="17" l="1"/>
  <c r="D55" i="15"/>
  <c r="G57" i="16"/>
  <c r="C25" i="17"/>
  <c r="Q76" i="25"/>
  <c r="AA38" i="41"/>
  <c r="N43" i="37" l="1"/>
  <c r="N62" i="22"/>
  <c r="N50" i="22"/>
  <c r="P81" i="20"/>
  <c r="Q60" i="24"/>
  <c r="P52" i="21"/>
  <c r="P56" i="21" s="1"/>
  <c r="O44" i="26"/>
  <c r="N25" i="28"/>
  <c r="N28" i="28" s="1"/>
  <c r="P70" i="21"/>
  <c r="P79" i="21" s="1"/>
  <c r="N33" i="28"/>
  <c r="Q95" i="24"/>
  <c r="P82" i="21" l="1"/>
  <c r="N37" i="28"/>
  <c r="O26" i="17"/>
  <c r="O26" i="16"/>
  <c r="R44" i="18"/>
  <c r="O105" i="17"/>
  <c r="O141" i="17"/>
  <c r="Q26" i="17" l="1"/>
  <c r="A52" i="9"/>
  <c r="N37" i="43" l="1"/>
  <c r="V44" i="18" l="1"/>
  <c r="D16" i="2" s="1"/>
  <c r="V36" i="18"/>
  <c r="D15" i="2" s="1"/>
  <c r="V93" i="18"/>
  <c r="D18" i="2" s="1"/>
  <c r="V111" i="18"/>
  <c r="V117" i="18" s="1"/>
  <c r="V134" i="18" l="1"/>
  <c r="Y31" i="23" l="1"/>
  <c r="Y23" i="23" l="1"/>
  <c r="A42" i="14"/>
  <c r="A42" i="13"/>
  <c r="A44" i="11"/>
  <c r="A44" i="10"/>
  <c r="A51" i="8"/>
  <c r="M26" i="16" l="1"/>
  <c r="Y61" i="23"/>
  <c r="Y79" i="23"/>
  <c r="Y86" i="23" s="1"/>
  <c r="M26" i="17" l="1"/>
  <c r="T99" i="20"/>
  <c r="C24" i="16" l="1"/>
  <c r="C24" i="17"/>
  <c r="AA31" i="23" l="1"/>
  <c r="AA95" i="24" l="1"/>
  <c r="Z35" i="19"/>
  <c r="Z36" i="18"/>
  <c r="Z22" i="18"/>
  <c r="Z26" i="18" s="1"/>
  <c r="Z28" i="19"/>
  <c r="Z93" i="18"/>
  <c r="AA60" i="24"/>
  <c r="AA23" i="23"/>
  <c r="Z111" i="18"/>
  <c r="Z117" i="18" s="1"/>
  <c r="AA78" i="24"/>
  <c r="AA85" i="24" s="1"/>
  <c r="Z99" i="20"/>
  <c r="Z106" i="20" s="1"/>
  <c r="AA28" i="23"/>
  <c r="Z44" i="18"/>
  <c r="AA96" i="23" l="1"/>
  <c r="Y49" i="16"/>
  <c r="Y105" i="17"/>
  <c r="Y41" i="17"/>
  <c r="Z81" i="19"/>
  <c r="Z81" i="20"/>
  <c r="Y26" i="16"/>
  <c r="Y30" i="16" s="1"/>
  <c r="Y49" i="17"/>
  <c r="Y123" i="17"/>
  <c r="Y132" i="17" s="1"/>
  <c r="Y26" i="17"/>
  <c r="AA33" i="23"/>
  <c r="AA79" i="23"/>
  <c r="AA86" i="23" s="1"/>
  <c r="Y105" i="16"/>
  <c r="AA61" i="23"/>
  <c r="Z99" i="19"/>
  <c r="Z108" i="19" s="1"/>
  <c r="Y41" i="16"/>
  <c r="X37" i="43"/>
  <c r="V37" i="43"/>
  <c r="P37" i="43"/>
  <c r="J37" i="43"/>
  <c r="H37" i="43"/>
  <c r="F37" i="43"/>
  <c r="B37" i="43"/>
  <c r="AD115" i="20" l="1"/>
  <c r="AC22" i="18"/>
  <c r="AC26" i="18" s="1"/>
  <c r="G28" i="9"/>
  <c r="P18" i="6"/>
  <c r="C29" i="16"/>
  <c r="C72" i="17"/>
  <c r="C81" i="17"/>
  <c r="C103" i="17"/>
  <c r="C113" i="30"/>
  <c r="AG42" i="25"/>
  <c r="P18" i="5"/>
  <c r="C23" i="16"/>
  <c r="AA39" i="27"/>
  <c r="G39" i="9"/>
  <c r="AD95" i="24"/>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C80" i="17"/>
  <c r="AG102" i="19"/>
  <c r="C24" i="30"/>
  <c r="E94" i="23"/>
  <c r="B19" i="6"/>
  <c r="C101" i="17"/>
  <c r="D22" i="18"/>
  <c r="AD71" i="22"/>
  <c r="AG71" i="22" s="1"/>
  <c r="C83" i="17"/>
  <c r="AD62" i="22"/>
  <c r="C53" i="16"/>
  <c r="C117" i="17"/>
  <c r="C36" i="17"/>
  <c r="C23" i="17"/>
  <c r="C66" i="17"/>
  <c r="Y123" i="16"/>
  <c r="Y132" i="16" s="1"/>
  <c r="AA65" i="23"/>
  <c r="AA89" i="23" s="1"/>
  <c r="AJ95" i="24" l="1"/>
  <c r="AD70" i="25"/>
  <c r="AI22" i="18"/>
  <c r="AK22" i="18" s="1"/>
  <c r="C73" i="17"/>
  <c r="C44" i="17"/>
  <c r="C69" i="17"/>
  <c r="B21" i="5"/>
  <c r="C93" i="17"/>
  <c r="C122" i="17"/>
  <c r="C100" i="17"/>
  <c r="C121" i="17"/>
  <c r="C75" i="17"/>
  <c r="C67" i="17"/>
  <c r="AB67" i="17" s="1"/>
  <c r="C45" i="17"/>
  <c r="C48" i="17"/>
  <c r="C89" i="17"/>
  <c r="C97" i="17"/>
  <c r="B29" i="5"/>
  <c r="D111" i="18"/>
  <c r="D117" i="18" s="1"/>
  <c r="E93" i="23"/>
  <c r="AF93" i="23" s="1"/>
  <c r="C139" i="17"/>
  <c r="C113" i="17"/>
  <c r="C88" i="17"/>
  <c r="C127" i="17"/>
  <c r="C90" i="17"/>
  <c r="C78" i="17"/>
  <c r="C102" i="17"/>
  <c r="C28" i="16"/>
  <c r="AB28" i="16" s="1"/>
  <c r="C107" i="17"/>
  <c r="C94" i="17"/>
  <c r="AE139" i="17"/>
  <c r="AA50" i="3"/>
  <c r="D134" i="18"/>
  <c r="C34" i="17"/>
  <c r="C27" i="17"/>
  <c r="C51" i="17"/>
  <c r="C28" i="17"/>
  <c r="C43" i="17"/>
  <c r="C129" i="16"/>
  <c r="C71" i="17"/>
  <c r="C71" i="16"/>
  <c r="B29" i="6"/>
  <c r="C55" i="16"/>
  <c r="C55" i="17"/>
  <c r="C91" i="17"/>
  <c r="C84" i="17"/>
  <c r="C76" i="17"/>
  <c r="D93"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V49" i="2" l="1"/>
  <c r="U139" i="16" s="1"/>
  <c r="C41" i="17"/>
  <c r="C57" i="17"/>
  <c r="D34" i="2"/>
  <c r="D42" i="2" s="1"/>
  <c r="D37" i="15"/>
  <c r="D46" i="15"/>
  <c r="C138" i="17"/>
  <c r="G26" i="17"/>
  <c r="G30" i="17" s="1"/>
  <c r="G26" i="16"/>
  <c r="G30" i="16" s="1"/>
  <c r="G41" i="17"/>
  <c r="G41" i="16"/>
  <c r="G49" i="17"/>
  <c r="G105" i="17"/>
  <c r="G49" i="16"/>
  <c r="AB81" i="19"/>
  <c r="AB35" i="19"/>
  <c r="AB28" i="19"/>
  <c r="AB139" i="16" l="1"/>
  <c r="D57" i="15"/>
  <c r="AB37" i="19"/>
  <c r="AB85" i="19" s="1"/>
  <c r="G105" i="16"/>
  <c r="G123" i="16"/>
  <c r="G132" i="16" s="1"/>
  <c r="G59" i="17"/>
  <c r="G109" i="17" s="1"/>
  <c r="G135" i="17" s="1"/>
  <c r="G145" i="17" s="1"/>
  <c r="G59" i="16"/>
  <c r="G109" i="16" l="1"/>
  <c r="G135" i="16"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AB21" i="17" l="1"/>
  <c r="AF94" i="23"/>
  <c r="R50" i="2" s="1"/>
  <c r="L44" i="18"/>
  <c r="L111" i="18"/>
  <c r="L117" i="18" s="1"/>
  <c r="L26" i="18"/>
  <c r="L36" i="18"/>
  <c r="AJ71" i="19"/>
  <c r="AL71" i="19" s="1"/>
  <c r="N70" i="21"/>
  <c r="N79" i="21" s="1"/>
  <c r="L25" i="29"/>
  <c r="L28" i="27"/>
  <c r="M23" i="26"/>
  <c r="O78" i="24"/>
  <c r="O85" i="24" s="1"/>
  <c r="L50" i="22"/>
  <c r="M33" i="26"/>
  <c r="L19" i="27"/>
  <c r="O30" i="24"/>
  <c r="L17" i="29"/>
  <c r="O27" i="24"/>
  <c r="L25" i="28"/>
  <c r="L28" i="28" s="1"/>
  <c r="N52" i="21"/>
  <c r="N56" i="21" s="1"/>
  <c r="V33" i="28"/>
  <c r="V37" i="28" s="1"/>
  <c r="V20" i="22"/>
  <c r="V29" i="22" s="1"/>
  <c r="V71" i="22"/>
  <c r="V37" i="29"/>
  <c r="N82" i="21" l="1"/>
  <c r="K26" i="16"/>
  <c r="H35" i="3"/>
  <c r="H43" i="3" s="1"/>
  <c r="L54" i="18"/>
  <c r="L97" i="18" s="1"/>
  <c r="AG48" i="22"/>
  <c r="G30" i="24"/>
  <c r="AE102" i="17"/>
  <c r="AK87"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7" i="18" s="1"/>
  <c r="Z120" i="18" s="1"/>
  <c r="G79" i="23"/>
  <c r="G86" i="23" s="1"/>
  <c r="G61" i="23"/>
  <c r="G31" i="23"/>
  <c r="F99" i="19"/>
  <c r="F108" i="19" s="1"/>
  <c r="G33" i="23" l="1"/>
  <c r="G65" i="23" s="1"/>
  <c r="G89" i="23" s="1"/>
  <c r="F81" i="19"/>
  <c r="N57" i="2" l="1"/>
  <c r="S31" i="23"/>
  <c r="L22" i="39"/>
  <c r="L47" i="39"/>
  <c r="L38" i="39"/>
  <c r="L28" i="39"/>
  <c r="L30" i="39" l="1"/>
  <c r="L50" i="39" l="1"/>
  <c r="L52" i="39" s="1"/>
  <c r="C46" i="16"/>
  <c r="X115" i="20" l="1"/>
  <c r="M46" i="40"/>
  <c r="M48" i="40" s="1"/>
  <c r="D48" i="40" l="1"/>
  <c r="F12" i="40" s="1"/>
  <c r="F48" i="40" s="1"/>
  <c r="H12" i="40" s="1"/>
  <c r="H48" i="40" s="1"/>
  <c r="J12" i="40" s="1"/>
  <c r="J48" i="40" s="1"/>
  <c r="E59" i="23"/>
  <c r="AF59" i="23" s="1"/>
  <c r="E60" i="23"/>
  <c r="AF60" i="23" s="1"/>
  <c r="C80" i="16"/>
  <c r="AD54" i="19"/>
  <c r="X35" i="19"/>
  <c r="X28" i="19"/>
  <c r="X99" i="19"/>
  <c r="X37" i="19" l="1"/>
  <c r="C34" i="16"/>
  <c r="C102" i="16"/>
  <c r="AB102" i="16" s="1"/>
  <c r="AD21" i="19"/>
  <c r="E52" i="23"/>
  <c r="AF52" i="23" s="1"/>
  <c r="AK67" i="18"/>
  <c r="E70" i="23"/>
  <c r="E49" i="23"/>
  <c r="AE35" i="17"/>
  <c r="E58" i="23"/>
  <c r="E30" i="23"/>
  <c r="P23" i="6"/>
  <c r="C101" i="16"/>
  <c r="AC54" i="18"/>
  <c r="AC97" i="18" s="1"/>
  <c r="AG22" i="19"/>
  <c r="AI67" i="18"/>
  <c r="E22" i="23"/>
  <c r="AF22" i="23" s="1"/>
  <c r="E77" i="23"/>
  <c r="AE94" i="17"/>
  <c r="E26" i="23"/>
  <c r="AJ19" i="25"/>
  <c r="F30" i="2"/>
  <c r="AD28" i="20"/>
  <c r="G24" i="12"/>
  <c r="C81" i="16"/>
  <c r="AC111" i="18"/>
  <c r="AC117" i="18" s="1"/>
  <c r="C94" i="16"/>
  <c r="C103" i="16"/>
  <c r="AI43" i="23"/>
  <c r="AI74" i="23"/>
  <c r="E63" i="23"/>
  <c r="C72" i="16"/>
  <c r="P35" i="5"/>
  <c r="E69" i="23"/>
  <c r="E74" i="23"/>
  <c r="I25" i="10"/>
  <c r="C67" i="16"/>
  <c r="E25" i="23"/>
  <c r="C83" i="16"/>
  <c r="E57" i="23"/>
  <c r="E43" i="23"/>
  <c r="AF43" i="23" s="1"/>
  <c r="E20" i="23"/>
  <c r="AF20" i="23" s="1"/>
  <c r="E27" i="23"/>
  <c r="E54" i="23"/>
  <c r="E21" i="23"/>
  <c r="AF21" i="23" s="1"/>
  <c r="AJ33" i="25"/>
  <c r="E81" i="23"/>
  <c r="X81" i="19"/>
  <c r="AC79" i="23"/>
  <c r="AC86" i="23" s="1"/>
  <c r="AC61" i="23"/>
  <c r="AC31" i="23"/>
  <c r="AC28" i="23"/>
  <c r="AC23" i="23"/>
  <c r="AC120" i="18" l="1"/>
  <c r="AC138"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123" i="16"/>
  <c r="AB24" i="17"/>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E75" i="23"/>
  <c r="C93" i="16"/>
  <c r="C76" i="16"/>
  <c r="E47" i="23"/>
  <c r="AD43" i="19"/>
  <c r="AD102" i="19"/>
  <c r="X85" i="19"/>
  <c r="AC33" i="23"/>
  <c r="AC65" i="23" s="1"/>
  <c r="AC89" i="23" s="1"/>
  <c r="AC101" i="23" s="1"/>
  <c r="C78" i="16" l="1"/>
  <c r="AF45" i="23"/>
  <c r="AF75" i="23"/>
  <c r="C41" i="16"/>
  <c r="AF78" i="23"/>
  <c r="D37" i="19"/>
  <c r="H46" i="15"/>
  <c r="H37" i="15"/>
  <c r="C117" i="16"/>
  <c r="C120" i="16"/>
  <c r="C127" i="16"/>
  <c r="C126" i="16"/>
  <c r="AF92" i="23"/>
  <c r="AF96" i="23" s="1"/>
  <c r="P51" i="2"/>
  <c r="C121" i="16"/>
  <c r="C113" i="16"/>
  <c r="C107" i="16"/>
  <c r="C97" i="16"/>
  <c r="AB22" i="17"/>
  <c r="E26" i="17"/>
  <c r="E30" i="17" s="1"/>
  <c r="E59" i="17" s="1"/>
  <c r="E109" i="17" s="1"/>
  <c r="AB22" i="16"/>
  <c r="E26" i="16"/>
  <c r="AB26" i="16" s="1"/>
  <c r="C90" i="16"/>
  <c r="C115" i="16"/>
  <c r="C96" i="16"/>
  <c r="C130" i="16"/>
  <c r="C84" i="16"/>
  <c r="C119" i="16"/>
  <c r="C85" i="16"/>
  <c r="C122" i="16"/>
  <c r="Z33" i="37"/>
  <c r="Z45" i="37" s="1"/>
  <c r="E132" i="16"/>
  <c r="D81" i="19"/>
  <c r="C141" i="17"/>
  <c r="D99" i="19"/>
  <c r="D108" i="19" s="1"/>
  <c r="D117" i="19"/>
  <c r="C123" i="17"/>
  <c r="C132" i="17" s="1"/>
  <c r="D20" i="33"/>
  <c r="E30" i="16" l="1"/>
  <c r="E59" i="16" s="1"/>
  <c r="E109" i="16" s="1"/>
  <c r="E135" i="16" s="1"/>
  <c r="E135" i="17"/>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20" i="18" l="1"/>
  <c r="B37" i="5"/>
  <c r="F29" i="15"/>
  <c r="AI51" i="23"/>
  <c r="AG17" i="19"/>
  <c r="AI84" i="18"/>
  <c r="AK84" i="18" s="1"/>
  <c r="AI56" i="23"/>
  <c r="AN56" i="23" s="1"/>
  <c r="AI60" i="23"/>
  <c r="AD99" i="20"/>
  <c r="AD106" i="20" s="1"/>
  <c r="AI26" i="23"/>
  <c r="AD35" i="20"/>
  <c r="AD37" i="20" s="1"/>
  <c r="X117" i="19" l="1"/>
  <c r="Q49" i="17"/>
  <c r="Q33" i="26"/>
  <c r="P88" i="21"/>
  <c r="P92" i="21" s="1"/>
  <c r="Q41" i="17"/>
  <c r="N71" i="22"/>
  <c r="F29" i="5"/>
  <c r="V34" i="15"/>
  <c r="Q22" i="24"/>
  <c r="R26" i="18"/>
  <c r="F26" i="6"/>
  <c r="F29" i="6" s="1"/>
  <c r="F39" i="6" s="1"/>
  <c r="F37" i="5"/>
  <c r="AF57" i="23"/>
  <c r="M26" i="42" l="1"/>
  <c r="J17" i="33"/>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F55" i="23"/>
  <c r="AA28" i="28"/>
  <c r="H43" i="37"/>
  <c r="F43" i="37"/>
  <c r="D43" i="37"/>
  <c r="B43" i="37"/>
  <c r="H33" i="37"/>
  <c r="F33" i="37"/>
  <c r="D33" i="37"/>
  <c r="B33" i="37"/>
  <c r="H25" i="37"/>
  <c r="F25" i="37"/>
  <c r="D25" i="37"/>
  <c r="B25" i="37"/>
  <c r="AD37" i="29" l="1"/>
  <c r="AI37" i="29" s="1"/>
  <c r="AI28" i="29"/>
  <c r="AD80" i="25"/>
  <c r="AD82" i="21"/>
  <c r="AB37" i="26"/>
  <c r="AB49" i="26" s="1"/>
  <c r="AD85" i="20"/>
  <c r="AD109" i="20" s="1"/>
  <c r="AA32" i="27"/>
  <c r="AA44" i="27" s="1"/>
  <c r="N99" i="19"/>
  <c r="N108" i="19" s="1"/>
  <c r="AD32" i="24"/>
  <c r="AD64" i="24" s="1"/>
  <c r="AD88" i="24" s="1"/>
  <c r="AD100" i="24" s="1"/>
  <c r="AF26" i="23"/>
  <c r="AF50" i="23"/>
  <c r="AF81" i="23"/>
  <c r="AF47" i="23"/>
  <c r="AF70" i="23"/>
  <c r="AF73" i="23"/>
  <c r="AF71" i="23"/>
  <c r="AF83" i="23"/>
  <c r="AF82" i="23"/>
  <c r="D45" i="37"/>
  <c r="H45" i="37"/>
  <c r="F45" i="37"/>
  <c r="B45" i="37"/>
  <c r="AB99" i="19" l="1"/>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62" i="22"/>
  <c r="F62" i="22"/>
  <c r="D62" i="22"/>
  <c r="B62" i="22"/>
  <c r="H50" i="22"/>
  <c r="F50" i="22"/>
  <c r="D50" i="22"/>
  <c r="B50" i="22"/>
  <c r="H20" i="22"/>
  <c r="H29" i="22" s="1"/>
  <c r="F20" i="22"/>
  <c r="F29" i="22" s="1"/>
  <c r="D20" i="22"/>
  <c r="D29" i="22" s="1"/>
  <c r="B20" i="22"/>
  <c r="B29" i="22" s="1"/>
  <c r="H70" i="21"/>
  <c r="H79" i="21" s="1"/>
  <c r="F70" i="21"/>
  <c r="F79" i="21" s="1"/>
  <c r="D70" i="21"/>
  <c r="D79" i="21" s="1"/>
  <c r="J52" i="21"/>
  <c r="J56" i="21" s="1"/>
  <c r="J82" i="21" s="1"/>
  <c r="H52" i="21"/>
  <c r="H56" i="21" s="1"/>
  <c r="F52" i="21"/>
  <c r="F56" i="21" s="1"/>
  <c r="D52" i="21"/>
  <c r="D56" i="21" s="1"/>
  <c r="H99" i="20"/>
  <c r="H106" i="20" s="1"/>
  <c r="F99" i="20"/>
  <c r="F106" i="20" s="1"/>
  <c r="D99" i="20"/>
  <c r="D106" i="20" s="1"/>
  <c r="H81" i="20"/>
  <c r="F81" i="20"/>
  <c r="D81" i="20"/>
  <c r="H35" i="20"/>
  <c r="F35" i="20"/>
  <c r="D35" i="20"/>
  <c r="H28" i="20"/>
  <c r="F28" i="20"/>
  <c r="D28" i="20"/>
  <c r="G111" i="19"/>
  <c r="J35" i="19"/>
  <c r="H35" i="19"/>
  <c r="J111" i="18"/>
  <c r="J117" i="18" s="1"/>
  <c r="H111" i="18"/>
  <c r="H117" i="18" s="1"/>
  <c r="F111" i="18"/>
  <c r="F117" i="18" s="1"/>
  <c r="J93" i="18"/>
  <c r="H93" i="18"/>
  <c r="F93" i="18"/>
  <c r="J44" i="18"/>
  <c r="H44" i="18"/>
  <c r="F44" i="18"/>
  <c r="D44" i="18"/>
  <c r="J36" i="18"/>
  <c r="H36" i="18"/>
  <c r="F36" i="18"/>
  <c r="D36" i="18"/>
  <c r="J26" i="18"/>
  <c r="H26" i="18"/>
  <c r="F26" i="18"/>
  <c r="H82" i="21" l="1"/>
  <c r="F82" i="21"/>
  <c r="H37" i="20"/>
  <c r="H85" i="20" s="1"/>
  <c r="H109" i="20" s="1"/>
  <c r="C37" i="26"/>
  <c r="C49" i="26" s="1"/>
  <c r="F37" i="20"/>
  <c r="F85" i="20" s="1"/>
  <c r="F109" i="20" s="1"/>
  <c r="D37" i="20"/>
  <c r="D85" i="20" s="1"/>
  <c r="D109" i="20" s="1"/>
  <c r="G70" i="25"/>
  <c r="I70" i="25"/>
  <c r="D28" i="29"/>
  <c r="V54" i="22"/>
  <c r="V65" i="22" s="1"/>
  <c r="V75" i="22" s="1"/>
  <c r="F28" i="29"/>
  <c r="J54" i="18"/>
  <c r="J97" i="18" s="1"/>
  <c r="J120" i="18" s="1"/>
  <c r="H54" i="22"/>
  <c r="H65" i="22" s="1"/>
  <c r="Q30" i="17"/>
  <c r="Q59" i="17" s="1"/>
  <c r="Q109" i="17" s="1"/>
  <c r="Q135" i="17" s="1"/>
  <c r="Q145" i="17" s="1"/>
  <c r="F32" i="27"/>
  <c r="H28" i="29"/>
  <c r="K70" i="25"/>
  <c r="G37" i="26"/>
  <c r="D32" i="27"/>
  <c r="I37" i="26"/>
  <c r="D28" i="28"/>
  <c r="H32" i="27"/>
  <c r="H28" i="19"/>
  <c r="H99" i="19"/>
  <c r="H108" i="19" s="1"/>
  <c r="H54" i="18"/>
  <c r="H97" i="18" s="1"/>
  <c r="H120" i="18" s="1"/>
  <c r="B54" i="22"/>
  <c r="B65" i="22" s="1"/>
  <c r="J81" i="19"/>
  <c r="J28" i="19"/>
  <c r="I79" i="23"/>
  <c r="I86" i="23" s="1"/>
  <c r="F54" i="18"/>
  <c r="F97" i="18" s="1"/>
  <c r="F120" i="18" s="1"/>
  <c r="H81" i="19"/>
  <c r="D54" i="22"/>
  <c r="D65" i="22" s="1"/>
  <c r="B32" i="27"/>
  <c r="E70" i="25"/>
  <c r="E37" i="26"/>
  <c r="E49" i="26" s="1"/>
  <c r="K23" i="23"/>
  <c r="E79" i="23"/>
  <c r="E86" i="23" s="1"/>
  <c r="J99" i="19"/>
  <c r="J108" i="19" s="1"/>
  <c r="I23" i="23"/>
  <c r="E28" i="23"/>
  <c r="H28" i="28"/>
  <c r="F54" i="22"/>
  <c r="F65"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P54" i="22" l="1"/>
  <c r="P65" i="22" s="1"/>
  <c r="P75" i="22" s="1"/>
  <c r="AB39" i="16"/>
  <c r="AH39" i="16" s="1"/>
  <c r="AJ39" i="16" s="1"/>
  <c r="J37" i="19"/>
  <c r="J85" i="19" s="1"/>
  <c r="J111" i="19" s="1"/>
  <c r="H37" i="19"/>
  <c r="H85" i="19" s="1"/>
  <c r="H111" i="19" s="1"/>
  <c r="K33" i="23"/>
  <c r="K65" i="23" s="1"/>
  <c r="I33" i="23"/>
  <c r="I65" i="23" s="1"/>
  <c r="I89" i="23" s="1"/>
  <c r="A5" i="14"/>
  <c r="A5" i="13"/>
  <c r="A5" i="12"/>
  <c r="A5" i="11"/>
  <c r="A5" i="10"/>
  <c r="A5" i="9"/>
  <c r="A5" i="8"/>
  <c r="K89" i="23" l="1"/>
  <c r="AD49" i="18"/>
  <c r="R40" i="15" l="1"/>
  <c r="K138" i="30" l="1"/>
  <c r="K136" i="30"/>
  <c r="T93" i="18" l="1"/>
  <c r="R93" i="18"/>
  <c r="W49" i="17" l="1"/>
  <c r="O123" i="17"/>
  <c r="O132" i="17" s="1"/>
  <c r="V81" i="19"/>
  <c r="H18" i="2" s="1"/>
  <c r="O49" i="17"/>
  <c r="I49" i="17" l="1"/>
  <c r="W41" i="17" l="1"/>
  <c r="O41" i="17"/>
  <c r="W30" i="16"/>
  <c r="W30" i="17"/>
  <c r="P43" i="37" l="1"/>
  <c r="V43" i="37"/>
  <c r="U60" i="24"/>
  <c r="X43" i="37"/>
  <c r="L43" i="37"/>
  <c r="L45" i="37" s="1"/>
  <c r="X33" i="37"/>
  <c r="V33" i="37"/>
  <c r="P33" i="37"/>
  <c r="Y96" i="23"/>
  <c r="W60" i="24"/>
  <c r="S60" i="24"/>
  <c r="R43" i="37"/>
  <c r="T43" i="37"/>
  <c r="T33" i="37"/>
  <c r="N33" i="37"/>
  <c r="N45" i="37" s="1"/>
  <c r="W141" i="17"/>
  <c r="W105" i="17"/>
  <c r="U23" i="23"/>
  <c r="Y141" i="17"/>
  <c r="W59" i="17"/>
  <c r="U33" i="23" l="1"/>
  <c r="U65" i="23" s="1"/>
  <c r="U89" i="23" s="1"/>
  <c r="U101" i="23" s="1"/>
  <c r="P45" i="37"/>
  <c r="W49" i="16"/>
  <c r="I41" i="17"/>
  <c r="I30" i="17"/>
  <c r="I30" i="16"/>
  <c r="K96" i="23"/>
  <c r="B71" i="22"/>
  <c r="T45" i="37"/>
  <c r="S41" i="16"/>
  <c r="Y28" i="23"/>
  <c r="O41" i="16"/>
  <c r="W41" i="16"/>
  <c r="S123" i="16"/>
  <c r="S132" i="16" s="1"/>
  <c r="R25" i="37"/>
  <c r="T25" i="37"/>
  <c r="V25" i="37"/>
  <c r="X25" i="37"/>
  <c r="N25" i="37"/>
  <c r="P25" i="37"/>
  <c r="V45" i="37"/>
  <c r="O49" i="16"/>
  <c r="R45" i="37"/>
  <c r="S49" i="16"/>
  <c r="W109" i="17"/>
  <c r="X45" i="37"/>
  <c r="Y33" i="23" l="1"/>
  <c r="Y65" i="23" s="1"/>
  <c r="Y89" i="23" s="1"/>
  <c r="Y101" i="23" s="1"/>
  <c r="AA101" i="23"/>
  <c r="AI57" i="23"/>
  <c r="AN57" i="23" s="1"/>
  <c r="I123" i="16"/>
  <c r="I132" i="16" s="1"/>
  <c r="I49" i="16"/>
  <c r="I59" i="17"/>
  <c r="I41" i="16"/>
  <c r="I96" i="23"/>
  <c r="I105" i="16"/>
  <c r="I105" i="17"/>
  <c r="W59" i="16"/>
  <c r="I109" i="17" l="1"/>
  <c r="I135" i="17" s="1"/>
  <c r="I145" i="17" s="1"/>
  <c r="K101" i="23"/>
  <c r="I59" i="16"/>
  <c r="I109" i="16" s="1"/>
  <c r="I135" i="16" s="1"/>
  <c r="P28" i="5" l="1"/>
  <c r="J49" i="3" l="1"/>
  <c r="G25" i="11"/>
  <c r="I42" i="10"/>
  <c r="I35" i="10"/>
  <c r="I40" i="13"/>
  <c r="N28" i="15" l="1"/>
  <c r="N37" i="15" s="1"/>
  <c r="G96" i="23" l="1"/>
  <c r="G101" i="23" l="1"/>
  <c r="AA51" i="3" l="1"/>
  <c r="R34" i="11" l="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G23" i="19"/>
  <c r="AE35" i="16" s="1"/>
  <c r="AG96" i="19"/>
  <c r="AG51" i="19"/>
  <c r="P26" i="5"/>
  <c r="AG80" i="19"/>
  <c r="AG63" i="19"/>
  <c r="AG32" i="19"/>
  <c r="AG79" i="19"/>
  <c r="AI76" i="23"/>
  <c r="AG94" i="19"/>
  <c r="AG50" i="19"/>
  <c r="AG34" i="19"/>
  <c r="AG52" i="19"/>
  <c r="AI73" i="23"/>
  <c r="AI22" i="23"/>
  <c r="AI59" i="23"/>
  <c r="AI20" i="23"/>
  <c r="AI47" i="23"/>
  <c r="AG41" i="19"/>
  <c r="AE63" i="16" s="1"/>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N92" i="23"/>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I48" i="2" s="1"/>
  <c r="AD26" i="2"/>
  <c r="AD51" i="2" l="1"/>
  <c r="AE138" i="16"/>
  <c r="AJ138" i="16" s="1"/>
  <c r="AC103" i="23"/>
  <c r="AG81" i="19"/>
  <c r="AD18" i="2" s="1"/>
  <c r="AE94" i="16"/>
  <c r="AI33" i="23"/>
  <c r="AI65" i="23" s="1"/>
  <c r="AI89" i="23" s="1"/>
  <c r="AI101" i="23" s="1"/>
  <c r="V35" i="19"/>
  <c r="H16" i="2" s="1"/>
  <c r="V28" i="19"/>
  <c r="H15" i="2" s="1"/>
  <c r="V37" i="19" l="1"/>
  <c r="V85" i="19" s="1"/>
  <c r="V111" i="19" s="1"/>
  <c r="V121" i="19" s="1"/>
  <c r="F32" i="15"/>
  <c r="F34" i="15"/>
  <c r="AI63" i="18"/>
  <c r="J43" i="37"/>
  <c r="N52" i="15"/>
  <c r="N55" i="15" s="1"/>
  <c r="F33" i="15"/>
  <c r="AJ74" i="25"/>
  <c r="J45" i="37" l="1"/>
  <c r="J25" i="37"/>
  <c r="K30" i="16"/>
  <c r="L35" i="19"/>
  <c r="L81" i="19"/>
  <c r="L28" i="19"/>
  <c r="L99" i="19"/>
  <c r="L108" i="19" s="1"/>
  <c r="L37" i="19" l="1"/>
  <c r="L85" i="19" s="1"/>
  <c r="L111" i="19" s="1"/>
  <c r="M101" i="23"/>
  <c r="K123" i="16"/>
  <c r="K41" i="16"/>
  <c r="K49" i="16"/>
  <c r="K105" i="16"/>
  <c r="AB35" i="17"/>
  <c r="AH35" i="17" s="1"/>
  <c r="AJ35" i="17" s="1"/>
  <c r="AJ23" i="20"/>
  <c r="AL23" i="20" s="1"/>
  <c r="V31" i="15"/>
  <c r="K59" i="16" l="1"/>
  <c r="K109" i="16" s="1"/>
  <c r="AD23" i="19"/>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F20" i="33" l="1"/>
  <c r="H25" i="32"/>
  <c r="G28" i="31"/>
  <c r="G30" i="34"/>
  <c r="M30" i="34" s="1"/>
  <c r="K25" i="11"/>
  <c r="K42" i="9"/>
  <c r="M88" i="42"/>
  <c r="G57" i="34"/>
  <c r="M57" i="34" s="1"/>
  <c r="M27" i="42"/>
  <c r="M57" i="42"/>
  <c r="I42" i="9"/>
  <c r="M72" i="42"/>
  <c r="M23" i="42"/>
  <c r="L21" i="32"/>
  <c r="F25" i="32"/>
  <c r="M53" i="42"/>
  <c r="M54" i="42"/>
  <c r="J18" i="33"/>
  <c r="M98" i="42"/>
  <c r="M63" i="42"/>
  <c r="G62" i="34"/>
  <c r="M62" i="34" s="1"/>
  <c r="M21" i="42"/>
  <c r="M50" i="42"/>
  <c r="M16" i="42"/>
  <c r="M31" i="42"/>
  <c r="S22" i="14"/>
  <c r="M67" i="42"/>
  <c r="K199" i="42"/>
  <c r="M220" i="42"/>
  <c r="S25" i="14"/>
  <c r="I30" i="9"/>
  <c r="K88" i="30"/>
  <c r="K117" i="30"/>
  <c r="M36" i="42"/>
  <c r="M90" i="42"/>
  <c r="I32" i="11"/>
  <c r="C32" i="10"/>
  <c r="M32" i="10" s="1"/>
  <c r="G41" i="34"/>
  <c r="M225" i="42"/>
  <c r="V21" i="11"/>
  <c r="T34" i="11"/>
  <c r="V33" i="11"/>
  <c r="G49" i="34"/>
  <c r="M49" i="34" s="1"/>
  <c r="F57" i="2"/>
  <c r="AC12" i="18"/>
  <c r="AC140" i="18" s="1"/>
  <c r="S21" i="14"/>
  <c r="G19" i="34"/>
  <c r="M19" i="34" s="1"/>
  <c r="E65" i="34"/>
  <c r="J19" i="33"/>
  <c r="M100" i="42"/>
  <c r="M65" i="42"/>
  <c r="I28" i="9"/>
  <c r="M20" i="42"/>
  <c r="M49" i="42"/>
  <c r="G59" i="34"/>
  <c r="M59" i="34" s="1"/>
  <c r="G199" i="42"/>
  <c r="M30" i="42"/>
  <c r="M197" i="42"/>
  <c r="I41" i="9"/>
  <c r="E22" i="8"/>
  <c r="AA13" i="28"/>
  <c r="M56" i="42"/>
  <c r="M194" i="42"/>
  <c r="M126" i="42"/>
  <c r="M53" i="34"/>
  <c r="J16" i="33"/>
  <c r="H20" i="33"/>
  <c r="M58" i="42"/>
  <c r="M43" i="42"/>
  <c r="M71" i="42"/>
  <c r="G23" i="34"/>
  <c r="M23" i="34" s="1"/>
  <c r="M46" i="42"/>
  <c r="G21" i="34"/>
  <c r="M21" i="34" s="1"/>
  <c r="I25" i="11"/>
  <c r="M229" i="42"/>
  <c r="M111" i="42"/>
  <c r="I28" i="31"/>
  <c r="T32" i="11"/>
  <c r="M38" i="42"/>
  <c r="U25" i="14"/>
  <c r="V22" i="11"/>
  <c r="E32" i="10"/>
  <c r="O32" i="10" s="1"/>
  <c r="K32" i="11"/>
  <c r="M92" i="42"/>
  <c r="M28" i="42"/>
  <c r="M22" i="42"/>
  <c r="M213" i="42"/>
  <c r="M73" i="42"/>
  <c r="M81" i="42"/>
  <c r="M224" i="42"/>
  <c r="M25" i="42"/>
  <c r="K41" i="9"/>
  <c r="G35" i="34"/>
  <c r="M35" i="34" s="1"/>
  <c r="K24" i="12"/>
  <c r="L15" i="32"/>
  <c r="M37" i="42"/>
  <c r="M87" i="42"/>
  <c r="G50" i="34"/>
  <c r="M50" i="34" s="1"/>
  <c r="M33" i="42"/>
  <c r="M34" i="42"/>
  <c r="G20" i="34"/>
  <c r="G31" i="34"/>
  <c r="M31" i="34" s="1"/>
  <c r="M236" i="42"/>
  <c r="G29" i="34"/>
  <c r="M29" i="34" s="1"/>
  <c r="K22" i="12"/>
  <c r="S20" i="14"/>
  <c r="U22" i="14"/>
  <c r="M48" i="42"/>
  <c r="G34" i="34"/>
  <c r="M34" i="34" s="1"/>
  <c r="M61" i="42"/>
  <c r="K39" i="9"/>
  <c r="G63" i="34"/>
  <c r="M51" i="42"/>
  <c r="U20" i="14"/>
  <c r="K85" i="30"/>
  <c r="M26" i="34"/>
  <c r="E28" i="31"/>
  <c r="K18" i="31"/>
  <c r="V34" i="11"/>
  <c r="K27" i="31"/>
  <c r="M59" i="42"/>
  <c r="G186" i="42"/>
  <c r="M40" i="42"/>
  <c r="M174" i="42"/>
  <c r="M32" i="42"/>
  <c r="M69" i="42"/>
  <c r="M68" i="42"/>
  <c r="K148" i="30"/>
  <c r="M216" i="42"/>
  <c r="M55" i="42"/>
  <c r="M226" i="42"/>
  <c r="M29" i="42"/>
  <c r="M74" i="42"/>
  <c r="M230" i="42"/>
  <c r="M24" i="42"/>
  <c r="M17" i="42"/>
  <c r="K40" i="9"/>
  <c r="M127" i="42"/>
  <c r="I24" i="12"/>
  <c r="O199" i="42"/>
  <c r="M10" i="42"/>
  <c r="M52" i="42"/>
  <c r="I39" i="9"/>
  <c r="M66" i="42"/>
  <c r="M60" i="42"/>
  <c r="M35" i="42"/>
  <c r="G45" i="34"/>
  <c r="V32" i="11"/>
  <c r="G38" i="34"/>
  <c r="M38" i="34" s="1"/>
  <c r="T21" i="11"/>
  <c r="M42" i="42"/>
  <c r="C22" i="8"/>
  <c r="M48" i="34"/>
  <c r="I22" i="12"/>
  <c r="M19" i="42"/>
  <c r="M45" i="42"/>
  <c r="U21" i="14"/>
  <c r="G51" i="34"/>
  <c r="M51" i="34" s="1"/>
  <c r="V20" i="11"/>
  <c r="K116" i="30"/>
  <c r="Z12" i="37"/>
  <c r="I40" i="9"/>
  <c r="K15" i="30"/>
  <c r="G52" i="34"/>
  <c r="M52" i="34" s="1"/>
  <c r="M64" i="42"/>
  <c r="M41" i="42"/>
  <c r="T20" i="11"/>
  <c r="K28" i="9"/>
  <c r="G22" i="34"/>
  <c r="M22" i="34" s="1"/>
  <c r="T33" i="11"/>
  <c r="M44" i="42"/>
  <c r="M39" i="42"/>
  <c r="G39" i="34"/>
  <c r="M39" i="34" s="1"/>
  <c r="M47" i="42"/>
  <c r="M18" i="42"/>
  <c r="G56" i="34"/>
  <c r="M56" i="34" s="1"/>
  <c r="K64" i="30"/>
  <c r="J20" i="33"/>
  <c r="U64" i="24"/>
  <c r="U88" i="24" s="1"/>
  <c r="U100" i="24" s="1"/>
  <c r="K30" i="9" l="1"/>
  <c r="E32" i="7"/>
  <c r="M191" i="42"/>
  <c r="M196" i="42"/>
  <c r="V13" i="15"/>
  <c r="R13" i="15"/>
  <c r="P13" i="15"/>
  <c r="N13" i="15"/>
  <c r="L13" i="15"/>
  <c r="J13" i="15"/>
  <c r="H13" i="15"/>
  <c r="AD12" i="15"/>
  <c r="X12" i="15"/>
  <c r="R12" i="15"/>
  <c r="N12" i="15"/>
  <c r="J12" i="15"/>
  <c r="M195" i="42" l="1"/>
  <c r="AJ55" i="24"/>
  <c r="AJ38" i="25"/>
  <c r="AL56" i="23" l="1"/>
  <c r="R28" i="20" l="1"/>
  <c r="AL52" i="25" l="1"/>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3" i="15" l="1"/>
  <c r="V52" i="15"/>
  <c r="V51" i="15"/>
  <c r="V50" i="15"/>
  <c r="V49" i="15"/>
  <c r="N46" i="15"/>
  <c r="V45" i="15"/>
  <c r="V43" i="15"/>
  <c r="V42" i="15"/>
  <c r="V41" i="15"/>
  <c r="V40" i="15"/>
  <c r="V33" i="15"/>
  <c r="V32" i="15"/>
  <c r="V30" i="15"/>
  <c r="V28" i="15"/>
  <c r="V24" i="15"/>
  <c r="R25" i="15"/>
  <c r="P25" i="15"/>
  <c r="N25" i="15"/>
  <c r="V55" i="15" l="1"/>
  <c r="V46" i="15"/>
  <c r="N57" i="15"/>
  <c r="AE44" i="26" l="1"/>
  <c r="K95" i="30" l="1"/>
  <c r="J18" i="6"/>
  <c r="F16" i="15"/>
  <c r="F17" i="15"/>
  <c r="F18" i="15"/>
  <c r="F19" i="15"/>
  <c r="F22" i="15"/>
  <c r="X23" i="15"/>
  <c r="F24" i="15"/>
  <c r="F28" i="15"/>
  <c r="F30" i="15"/>
  <c r="F40" i="15"/>
  <c r="F41" i="15"/>
  <c r="F42" i="15"/>
  <c r="F43" i="15"/>
  <c r="F50" i="15"/>
  <c r="X50" i="15" s="1"/>
  <c r="F51" i="15"/>
  <c r="X51" i="15" s="1"/>
  <c r="F53" i="15"/>
  <c r="X53" i="15" s="1"/>
  <c r="X16" i="15" l="1"/>
  <c r="F21" i="15"/>
  <c r="F25" i="15" s="1"/>
  <c r="X18" i="15"/>
  <c r="X24" i="15"/>
  <c r="X19" i="15"/>
  <c r="X17" i="15"/>
  <c r="X20" i="15"/>
  <c r="X21" i="15" l="1"/>
  <c r="J33" i="28"/>
  <c r="AI129" i="18" l="1"/>
  <c r="AK129" i="18" s="1"/>
  <c r="K39" i="30" l="1"/>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M198" i="42" l="1"/>
  <c r="AJ56" i="24"/>
  <c r="AJ49" i="21" l="1"/>
  <c r="AL49" i="21" s="1"/>
  <c r="AD75" i="22" l="1"/>
  <c r="X71" i="22" l="1"/>
  <c r="X62" i="22"/>
  <c r="X50" i="22"/>
  <c r="X20" i="22"/>
  <c r="X29" i="22" s="1"/>
  <c r="T62" i="22"/>
  <c r="T50" i="22"/>
  <c r="L18" i="2" s="1"/>
  <c r="T20" i="22"/>
  <c r="R71" i="22"/>
  <c r="R62" i="22"/>
  <c r="R50" i="22"/>
  <c r="R20" i="22"/>
  <c r="N20" i="22"/>
  <c r="N29" i="22" s="1"/>
  <c r="J71" i="22"/>
  <c r="J50" i="22"/>
  <c r="J20" i="22"/>
  <c r="J29" i="22" s="1"/>
  <c r="H71" i="22"/>
  <c r="F71" i="22"/>
  <c r="T29" i="22" l="1"/>
  <c r="T54" i="22" s="1"/>
  <c r="T65" i="22" s="1"/>
  <c r="T75" i="22" s="1"/>
  <c r="L15" i="2"/>
  <c r="L20" i="2" s="1"/>
  <c r="R29" i="22"/>
  <c r="R54" i="22" s="1"/>
  <c r="R65" i="22" s="1"/>
  <c r="R75" i="22" s="1"/>
  <c r="J54" i="22"/>
  <c r="H75" i="22"/>
  <c r="X54" i="22"/>
  <c r="X65" i="22" s="1"/>
  <c r="X75" i="22" s="1"/>
  <c r="F75" i="22"/>
  <c r="P17" i="29"/>
  <c r="G25" i="14" l="1"/>
  <c r="I25" i="14" l="1"/>
  <c r="K25" i="14"/>
  <c r="G25" i="13"/>
  <c r="G40" i="7"/>
  <c r="AN42" i="23" l="1"/>
  <c r="AJ24" i="25"/>
  <c r="AJ41" i="24"/>
  <c r="AL42" i="23" l="1"/>
  <c r="AA34" i="3" l="1"/>
  <c r="AI88" i="18" l="1"/>
  <c r="AK88" i="18" s="1"/>
  <c r="AI89" i="18"/>
  <c r="AK89" i="18" s="1"/>
  <c r="AE103" i="17"/>
  <c r="AE67" i="17"/>
  <c r="AG49" i="22" l="1"/>
  <c r="AI49" i="22" s="1"/>
  <c r="AG33" i="22"/>
  <c r="AI33" i="22" s="1"/>
  <c r="AE99" i="17" l="1"/>
  <c r="AN50" i="23" l="1"/>
  <c r="AJ32" i="25"/>
  <c r="AJ49" i="24"/>
  <c r="AL49" i="24" s="1"/>
  <c r="AL50" i="23" l="1"/>
  <c r="R81" i="20" l="1"/>
  <c r="AL25" i="23" l="1"/>
  <c r="AA42" i="25" l="1"/>
  <c r="Y42" i="25"/>
  <c r="W42" i="25"/>
  <c r="S42" i="25"/>
  <c r="W105" i="16" l="1"/>
  <c r="W109" i="16" s="1"/>
  <c r="A39" i="13"/>
  <c r="A41" i="11"/>
  <c r="A41" i="10"/>
  <c r="A49" i="9"/>
  <c r="Q31" i="14" l="1"/>
  <c r="AL59" i="25"/>
  <c r="Q24" i="14"/>
  <c r="G32" i="14"/>
  <c r="R31" i="11"/>
  <c r="G33" i="11"/>
  <c r="G31" i="11"/>
  <c r="G24" i="11"/>
  <c r="AJ76" i="20"/>
  <c r="AL76" i="20" s="1"/>
  <c r="AJ64" i="20"/>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I31" i="11" l="1"/>
  <c r="K31" i="11"/>
  <c r="I33" i="11"/>
  <c r="K33" i="11"/>
  <c r="T31" i="11"/>
  <c r="V31" i="11"/>
  <c r="I32" i="14"/>
  <c r="K32" i="14"/>
  <c r="K20" i="11"/>
  <c r="I20" i="11"/>
  <c r="S24" i="14"/>
  <c r="U24" i="14"/>
  <c r="S31" i="14"/>
  <c r="U31" i="14"/>
  <c r="I24" i="11"/>
  <c r="K24" i="11"/>
  <c r="G33" i="8"/>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3" i="16"/>
  <c r="AE76" i="16"/>
  <c r="AG16" i="22"/>
  <c r="Q23" i="14"/>
  <c r="G20" i="12"/>
  <c r="AE77" i="16"/>
  <c r="AG36" i="22"/>
  <c r="AI36" i="22" s="1"/>
  <c r="G34" i="11"/>
  <c r="AJ31" i="21"/>
  <c r="AL31" i="21" s="1"/>
  <c r="AI16" i="22" l="1"/>
  <c r="T30" i="11"/>
  <c r="V30" i="11"/>
  <c r="S32" i="14"/>
  <c r="U32" i="14"/>
  <c r="I30" i="11"/>
  <c r="K30" i="11"/>
  <c r="I34" i="11"/>
  <c r="K34" i="11"/>
  <c r="T23" i="11"/>
  <c r="V23" i="11"/>
  <c r="S23" i="14"/>
  <c r="U23" i="14"/>
  <c r="I31" i="14"/>
  <c r="K31" i="14"/>
  <c r="I26" i="14"/>
  <c r="K26" i="14"/>
  <c r="I24" i="14"/>
  <c r="K24" i="14"/>
  <c r="I20" i="12"/>
  <c r="K20" i="12"/>
  <c r="T24" i="11"/>
  <c r="V24" i="11"/>
  <c r="G32" i="13"/>
  <c r="G31" i="13"/>
  <c r="G24" i="13"/>
  <c r="J28" i="5" l="1"/>
  <c r="J19" i="5"/>
  <c r="H14" i="5"/>
  <c r="P14" i="5" s="1"/>
  <c r="L14" i="5"/>
  <c r="F15" i="5"/>
  <c r="H15" i="5"/>
  <c r="J15" i="5"/>
  <c r="J20" i="5"/>
  <c r="P21" i="5"/>
  <c r="P29" i="5"/>
  <c r="P37" i="5"/>
  <c r="P32" i="5" l="1"/>
  <c r="P42" i="5" s="1"/>
  <c r="J27" i="5"/>
  <c r="J26" i="5"/>
  <c r="J36" i="5"/>
  <c r="J35" i="5"/>
  <c r="J25" i="5"/>
  <c r="L117" i="19"/>
  <c r="K141" i="30" l="1"/>
  <c r="G11" i="42"/>
  <c r="J37" i="5"/>
  <c r="J29" i="5"/>
  <c r="L121" i="19" l="1"/>
  <c r="AE140" i="16" l="1"/>
  <c r="Z35" i="20"/>
  <c r="X35" i="20"/>
  <c r="V35" i="20"/>
  <c r="H17" i="3" s="1"/>
  <c r="T35" i="20"/>
  <c r="R35" i="20"/>
  <c r="P35" i="20"/>
  <c r="L35" i="20"/>
  <c r="Z28" i="20"/>
  <c r="X28" i="20"/>
  <c r="V28" i="20"/>
  <c r="H16" i="3" s="1"/>
  <c r="L28" i="20"/>
  <c r="AG37" i="20"/>
  <c r="R37" i="20" l="1"/>
  <c r="P37" i="20"/>
  <c r="P85" i="20" s="1"/>
  <c r="P109" i="20" s="1"/>
  <c r="P119" i="20" s="1"/>
  <c r="V37" i="20"/>
  <c r="V85" i="20" s="1"/>
  <c r="T37" i="20"/>
  <c r="X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G23" i="11" l="1"/>
  <c r="I23" i="11" l="1"/>
  <c r="K23" i="11"/>
  <c r="P41" i="43"/>
  <c r="P43" i="43" s="1"/>
  <c r="AF44" i="18" l="1"/>
  <c r="X44" i="18"/>
  <c r="T44" i="18"/>
  <c r="AD17" i="2" l="1"/>
  <c r="AA18" i="3"/>
  <c r="AG30" i="24"/>
  <c r="AA30" i="24"/>
  <c r="W30" i="24"/>
  <c r="S30" i="24"/>
  <c r="M30" i="24"/>
  <c r="AG22" i="24"/>
  <c r="AA22" i="24"/>
  <c r="W22" i="24"/>
  <c r="S22" i="24"/>
  <c r="M22" i="24"/>
  <c r="AA27" i="24"/>
  <c r="W27" i="24"/>
  <c r="S27" i="24"/>
  <c r="Q27" i="24"/>
  <c r="Q32" i="24" s="1"/>
  <c r="M27" i="24"/>
  <c r="AE51" i="16"/>
  <c r="AE29" i="16"/>
  <c r="AE24" i="16"/>
  <c r="AE23" i="16"/>
  <c r="AE53" i="17"/>
  <c r="AE52" i="17"/>
  <c r="AE51" i="17"/>
  <c r="AE46" i="17"/>
  <c r="AE45" i="17"/>
  <c r="AE43" i="17"/>
  <c r="AE37" i="17"/>
  <c r="AE34" i="17"/>
  <c r="AE32" i="17"/>
  <c r="AE29" i="17"/>
  <c r="AE25" i="17"/>
  <c r="AE24" i="17"/>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1" i="17"/>
  <c r="C30" i="17"/>
  <c r="I22" i="14" l="1"/>
  <c r="K22" i="14"/>
  <c r="AH17" i="15"/>
  <c r="AJ17" i="15" s="1"/>
  <c r="G22" i="13"/>
  <c r="K22" i="13" s="1"/>
  <c r="AJ30" i="24"/>
  <c r="AL30" i="24" s="1"/>
  <c r="R41" i="15"/>
  <c r="R52" i="15"/>
  <c r="R55" i="15" s="1"/>
  <c r="AG25" i="22"/>
  <c r="AI25"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D25" i="19"/>
  <c r="C59" i="17"/>
  <c r="AD24" i="19"/>
  <c r="AD3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0" i="18"/>
  <c r="AK50" i="18" s="1"/>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V52" i="21"/>
  <c r="V56" i="21" s="1"/>
  <c r="T52" i="21"/>
  <c r="T56" i="21" s="1"/>
  <c r="AG81" i="20"/>
  <c r="AG85" i="20" s="1"/>
  <c r="H19" i="3"/>
  <c r="L81" i="20"/>
  <c r="AA46" i="25"/>
  <c r="Y46" i="25"/>
  <c r="W46" i="25"/>
  <c r="S46" i="25"/>
  <c r="O46" i="25"/>
  <c r="AG60" i="24"/>
  <c r="L85" i="20" l="1"/>
  <c r="AD15" i="2"/>
  <c r="AA19" i="3"/>
  <c r="AE41" i="16"/>
  <c r="AG37" i="19"/>
  <c r="AG85" i="19" s="1"/>
  <c r="AG111" i="19" s="1"/>
  <c r="AG121" i="19" s="1"/>
  <c r="R54" i="18"/>
  <c r="R97" i="18" s="1"/>
  <c r="Q105" i="16" s="1"/>
  <c r="X85" i="20"/>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59" i="16"/>
  <c r="AI24" i="18"/>
  <c r="AK24" i="18" s="1"/>
  <c r="AE49" i="16"/>
  <c r="AG46" i="25"/>
  <c r="X54" i="18"/>
  <c r="X97" i="18" s="1"/>
  <c r="AI46" i="18"/>
  <c r="G23" i="9"/>
  <c r="G22" i="9"/>
  <c r="T85" i="20"/>
  <c r="AG27" i="22"/>
  <c r="G23" i="12"/>
  <c r="N17" i="2"/>
  <c r="AI20" i="22"/>
  <c r="G21" i="12"/>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I21" i="11"/>
  <c r="K21" i="11"/>
  <c r="I23" i="12"/>
  <c r="K23" i="12"/>
  <c r="I22" i="11"/>
  <c r="K22" i="11"/>
  <c r="I22" i="9"/>
  <c r="K22" i="9"/>
  <c r="I23" i="9"/>
  <c r="K23" i="9"/>
  <c r="I21" i="12"/>
  <c r="K21" i="12"/>
  <c r="I23" i="14"/>
  <c r="K23" i="14"/>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G22" i="10"/>
  <c r="K22" i="10" s="1"/>
  <c r="G20" i="9"/>
  <c r="G21" i="10"/>
  <c r="K21" i="10" s="1"/>
  <c r="I20" i="9" l="1"/>
  <c r="K20" i="9"/>
  <c r="I21" i="9"/>
  <c r="K21" i="9"/>
  <c r="X55" i="15"/>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J67" i="20"/>
  <c r="AL67" i="20" s="1"/>
  <c r="AJ61" i="20"/>
  <c r="AL61" i="20" s="1"/>
  <c r="AJ66" i="20"/>
  <c r="AL66" i="20" s="1"/>
  <c r="AJ65" i="20"/>
  <c r="AL65" i="20" s="1"/>
  <c r="AJ63" i="20"/>
  <c r="AL63" i="20" s="1"/>
  <c r="AJ60" i="20"/>
  <c r="AL60" i="20" s="1"/>
  <c r="AJ59" i="20"/>
  <c r="AL59" i="20" s="1"/>
  <c r="AJ57" i="20"/>
  <c r="AJ56" i="20"/>
  <c r="AL56"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G26" i="11" l="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41" i="22"/>
  <c r="AI41" i="22" s="1"/>
  <c r="AG44" i="27"/>
  <c r="AI44" i="27" s="1"/>
  <c r="S32" i="5" l="1"/>
  <c r="AG50" i="22"/>
  <c r="AI50" i="22" s="1"/>
  <c r="U32" i="5" l="1"/>
  <c r="S42" i="5"/>
  <c r="U42" i="5" s="1"/>
  <c r="U26" i="14"/>
  <c r="U27" i="14" l="1"/>
  <c r="S26" i="14"/>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112" i="30" l="1"/>
  <c r="K25" i="13"/>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1" i="18"/>
  <c r="AK91" i="18" s="1"/>
  <c r="AI75" i="18"/>
  <c r="AK75" i="18" s="1"/>
  <c r="AI74" i="18"/>
  <c r="AK74" i="18" s="1"/>
  <c r="AI62" i="18"/>
  <c r="AK62" i="18" s="1"/>
  <c r="AI61" i="18"/>
  <c r="AK61" i="18" s="1"/>
  <c r="AB87" i="17" l="1"/>
  <c r="AH87" i="17" s="1"/>
  <c r="AJ87" i="17" s="1"/>
  <c r="AI64" i="18"/>
  <c r="AK64" i="18" s="1"/>
  <c r="AK63" i="18"/>
  <c r="AI80" i="18"/>
  <c r="AK80" i="18" s="1"/>
  <c r="AI83" i="18"/>
  <c r="AK83" i="18" s="1"/>
  <c r="AB87" i="16"/>
  <c r="AI92" i="18"/>
  <c r="AK92"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0" i="18"/>
  <c r="AK90" i="18" s="1"/>
  <c r="AI86" i="18"/>
  <c r="AK86" i="18" s="1"/>
  <c r="AI85" i="18"/>
  <c r="AI81" i="18"/>
  <c r="AK81" i="18" s="1"/>
  <c r="AI79" i="18"/>
  <c r="AK79" i="18" s="1"/>
  <c r="AI78" i="18"/>
  <c r="AK78" i="18" s="1"/>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3" i="18"/>
  <c r="AK93" i="18" s="1"/>
  <c r="G24" i="9"/>
  <c r="I24" i="9" l="1"/>
  <c r="K24" i="9"/>
  <c r="AJ81" i="19"/>
  <c r="F18" i="2"/>
  <c r="F19" i="3" l="1"/>
  <c r="K50" i="30" l="1"/>
  <c r="L50" i="3"/>
  <c r="L49" i="3"/>
  <c r="L19" i="3"/>
  <c r="L18" i="3"/>
  <c r="L16" i="3"/>
  <c r="L51" i="3" l="1"/>
  <c r="G25" i="10" l="1"/>
  <c r="L20" i="3"/>
  <c r="AG99" i="20"/>
  <c r="AG106" i="20" l="1"/>
  <c r="F15" i="6"/>
  <c r="AI125" i="18" l="1"/>
  <c r="AK125" i="18" s="1"/>
  <c r="AI126" i="18"/>
  <c r="AK126" i="18" s="1"/>
  <c r="G29" i="9"/>
  <c r="AI127" i="18"/>
  <c r="AK127" i="18" s="1"/>
  <c r="I29" i="9" l="1"/>
  <c r="K29" i="9"/>
  <c r="X28" i="27"/>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M80" i="25" s="1"/>
  <c r="K76" i="25"/>
  <c r="I76" i="25"/>
  <c r="G76" i="25"/>
  <c r="E76" i="25"/>
  <c r="AG60" i="25"/>
  <c r="AA60" i="25"/>
  <c r="AA67" i="25" s="1"/>
  <c r="Y60" i="25"/>
  <c r="Y67" i="25" s="1"/>
  <c r="W60" i="25"/>
  <c r="W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2" i="12"/>
  <c r="G26" i="12"/>
  <c r="G30" i="12"/>
  <c r="D71" i="22"/>
  <c r="AG88" i="21"/>
  <c r="AG70" i="21"/>
  <c r="Z88" i="21"/>
  <c r="X88" i="21"/>
  <c r="V88" i="21"/>
  <c r="T88" i="21"/>
  <c r="H88" i="21"/>
  <c r="F88" i="21"/>
  <c r="D88" i="21"/>
  <c r="G29" i="11"/>
  <c r="Z115" i="20"/>
  <c r="V115" i="20"/>
  <c r="T115" i="20"/>
  <c r="R115" i="20"/>
  <c r="N115" i="20"/>
  <c r="N119" i="20" s="1"/>
  <c r="L115" i="20"/>
  <c r="H115" i="20"/>
  <c r="F115" i="20"/>
  <c r="X99" i="20"/>
  <c r="X106" i="20" s="1"/>
  <c r="X108" i="19" s="1"/>
  <c r="X111" i="19" s="1"/>
  <c r="X121" i="19" s="1"/>
  <c r="T106" i="20"/>
  <c r="T109" i="20" s="1"/>
  <c r="R99" i="20"/>
  <c r="R106" i="20" s="1"/>
  <c r="L99" i="20"/>
  <c r="L106" i="20" s="1"/>
  <c r="D115" i="20"/>
  <c r="Z117" i="19"/>
  <c r="N117" i="19"/>
  <c r="H117" i="19"/>
  <c r="F117" i="19"/>
  <c r="AF111" i="18"/>
  <c r="AF117" i="18" s="1"/>
  <c r="AL76" i="25" l="1"/>
  <c r="AJ76" i="25"/>
  <c r="S37" i="26"/>
  <c r="S49" i="26" s="1"/>
  <c r="I30" i="12"/>
  <c r="K30" i="12"/>
  <c r="I29" i="11"/>
  <c r="K29" i="11"/>
  <c r="I32" i="12"/>
  <c r="K32" i="12"/>
  <c r="I26" i="12"/>
  <c r="K26" i="12"/>
  <c r="E29" i="8"/>
  <c r="E31" i="10"/>
  <c r="E35" i="11"/>
  <c r="E29" i="10"/>
  <c r="E21" i="8"/>
  <c r="E32" i="8"/>
  <c r="E24" i="10"/>
  <c r="E30" i="8"/>
  <c r="E23" i="13"/>
  <c r="O23" i="13" s="1"/>
  <c r="E25" i="13"/>
  <c r="O25" i="13" s="1"/>
  <c r="E40" i="7"/>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9" i="20"/>
  <c r="AG79" i="21"/>
  <c r="AG82" i="21" s="1"/>
  <c r="T28" i="28"/>
  <c r="T37" i="28" s="1"/>
  <c r="G31" i="10"/>
  <c r="K31" i="10" s="1"/>
  <c r="G33" i="10"/>
  <c r="F44" i="27"/>
  <c r="H37" i="28"/>
  <c r="G24" i="10"/>
  <c r="K24" i="10" s="1"/>
  <c r="H121" i="19"/>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V109" i="20"/>
  <c r="V119" i="20" s="1"/>
  <c r="L109" i="20"/>
  <c r="L119" i="20" s="1"/>
  <c r="X109" i="20"/>
  <c r="X119" i="20" s="1"/>
  <c r="R109" i="20"/>
  <c r="R119" i="20" s="1"/>
  <c r="AJ91" i="24"/>
  <c r="J21" i="3"/>
  <c r="Q88" i="24"/>
  <c r="Q100" i="24" s="1"/>
  <c r="S88" i="24"/>
  <c r="S100" i="24" s="1"/>
  <c r="AA88" i="24"/>
  <c r="AA100" i="24" s="1"/>
  <c r="W88" i="24"/>
  <c r="W100" i="24" s="1"/>
  <c r="M88" i="24"/>
  <c r="Y100" i="24"/>
  <c r="AJ62" i="24"/>
  <c r="AL62" i="24" s="1"/>
  <c r="AJ83" i="24"/>
  <c r="AL83" i="24" s="1"/>
  <c r="O70" i="25"/>
  <c r="O80" i="25" s="1"/>
  <c r="W70" i="25"/>
  <c r="W80" i="25" s="1"/>
  <c r="K80" i="25"/>
  <c r="S70" i="25"/>
  <c r="S80" i="25" s="1"/>
  <c r="AA70" i="25"/>
  <c r="AA80" i="25" s="1"/>
  <c r="Y70" i="25"/>
  <c r="Y80" i="25" s="1"/>
  <c r="AJ51" i="25"/>
  <c r="I49" i="26"/>
  <c r="K37" i="26"/>
  <c r="K49" i="26" s="1"/>
  <c r="H44" i="27"/>
  <c r="B44" i="27"/>
  <c r="D37" i="29"/>
  <c r="AG60" i="22"/>
  <c r="AI60" i="22" s="1"/>
  <c r="G31" i="12"/>
  <c r="G49" i="26"/>
  <c r="AG69" i="22"/>
  <c r="AI69" i="22" s="1"/>
  <c r="AG68" i="22"/>
  <c r="AI68" i="22" s="1"/>
  <c r="F37" i="28"/>
  <c r="H119" i="20"/>
  <c r="I101" i="23"/>
  <c r="AJ65" i="25"/>
  <c r="AL65" i="25" s="1"/>
  <c r="I80" i="25"/>
  <c r="AJ70" i="24"/>
  <c r="AL70" i="24" s="1"/>
  <c r="I100" i="24"/>
  <c r="AJ19" i="24"/>
  <c r="AL19" i="24" s="1"/>
  <c r="AJ26" i="24"/>
  <c r="AL26" i="24" s="1"/>
  <c r="D75" i="22"/>
  <c r="AJ92" i="24"/>
  <c r="AL92" i="24" s="1"/>
  <c r="AJ20" i="24"/>
  <c r="AL20" i="24" s="1"/>
  <c r="D37" i="28"/>
  <c r="AJ76" i="24"/>
  <c r="AL76" i="24" s="1"/>
  <c r="AJ69" i="24"/>
  <c r="AL69" i="24" s="1"/>
  <c r="G100" i="24"/>
  <c r="AJ68" i="24"/>
  <c r="AL68" i="24" s="1"/>
  <c r="AJ59" i="25"/>
  <c r="Q30" i="14"/>
  <c r="U30" i="14" s="1"/>
  <c r="G80" i="25"/>
  <c r="AJ44" i="25"/>
  <c r="AL44" i="25" s="1"/>
  <c r="AG58" i="22"/>
  <c r="AI58" i="22" s="1"/>
  <c r="AG109" i="20"/>
  <c r="AG119" i="20" s="1"/>
  <c r="AJ99" i="20"/>
  <c r="F119" i="20"/>
  <c r="AL106" i="20"/>
  <c r="C45" i="31"/>
  <c r="AA33" i="29"/>
  <c r="AA25" i="29"/>
  <c r="N19" i="6"/>
  <c r="N34" i="2"/>
  <c r="C101" i="30"/>
  <c r="C91" i="30"/>
  <c r="O22" i="10" l="1"/>
  <c r="E22" i="7"/>
  <c r="C103" i="30"/>
  <c r="C157" i="30" s="1"/>
  <c r="AJ82" i="21"/>
  <c r="AG92" i="21"/>
  <c r="O31" i="10"/>
  <c r="O30" i="10"/>
  <c r="O24" i="10"/>
  <c r="I31" i="12"/>
  <c r="K31" i="12"/>
  <c r="K33" i="12" s="1"/>
  <c r="I21" i="14"/>
  <c r="K21" i="14"/>
  <c r="E37" i="14"/>
  <c r="M100" i="24"/>
  <c r="U33" i="14"/>
  <c r="U37" i="14" s="1"/>
  <c r="S30" i="14"/>
  <c r="K27" i="12"/>
  <c r="I25" i="12"/>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J46" i="3"/>
  <c r="AJ60" i="25"/>
  <c r="AJ78" i="24"/>
  <c r="AL78" i="24" s="1"/>
  <c r="AL95" i="24"/>
  <c r="AG62" i="22"/>
  <c r="AI62" i="22" s="1"/>
  <c r="AJ106" i="20"/>
  <c r="AG88" i="24"/>
  <c r="H24" i="6"/>
  <c r="AK36" i="18"/>
  <c r="G25" i="9"/>
  <c r="AI102" i="18"/>
  <c r="AK102" i="18" s="1"/>
  <c r="AI105" i="18"/>
  <c r="AK105" i="18" s="1"/>
  <c r="AI106" i="18"/>
  <c r="AK106" i="18" s="1"/>
  <c r="AI107" i="18"/>
  <c r="AK107" i="18" s="1"/>
  <c r="AI108" i="18"/>
  <c r="AK108" i="18" s="1"/>
  <c r="AI109" i="18"/>
  <c r="AK109" i="18" s="1"/>
  <c r="AI110" i="18"/>
  <c r="AK110" i="18" s="1"/>
  <c r="R111" i="18"/>
  <c r="R117" i="18" s="1"/>
  <c r="Q132" i="16" s="1"/>
  <c r="Q135" i="16" s="1"/>
  <c r="T111" i="18"/>
  <c r="AI113" i="18"/>
  <c r="AK113" i="18" s="1"/>
  <c r="G27" i="9"/>
  <c r="AI131" i="18"/>
  <c r="AK131" i="18" s="1"/>
  <c r="F134" i="18"/>
  <c r="H134" i="18"/>
  <c r="J134" i="18"/>
  <c r="L134" i="18"/>
  <c r="R134" i="18"/>
  <c r="T134" i="18"/>
  <c r="X134" i="18"/>
  <c r="Z134" i="18"/>
  <c r="Z70" i="21"/>
  <c r="Z79" i="21" s="1"/>
  <c r="Z92" i="21" s="1"/>
  <c r="X70" i="21"/>
  <c r="X79" i="21" s="1"/>
  <c r="V70" i="21"/>
  <c r="T70" i="21"/>
  <c r="T79" i="21" s="1"/>
  <c r="R70" i="21"/>
  <c r="R79" i="21" s="1"/>
  <c r="G31" i="9" l="1"/>
  <c r="T82" i="21"/>
  <c r="T92" i="21" s="1"/>
  <c r="R82" i="21"/>
  <c r="R92" i="21" s="1"/>
  <c r="K33" i="7"/>
  <c r="I20" i="14"/>
  <c r="K20" i="14"/>
  <c r="K27" i="14" s="1"/>
  <c r="I30" i="14"/>
  <c r="K30" i="14"/>
  <c r="K33" i="14" s="1"/>
  <c r="E40" i="14"/>
  <c r="I27" i="9"/>
  <c r="K27" i="9"/>
  <c r="I25" i="9"/>
  <c r="K25" i="9"/>
  <c r="P42" i="11"/>
  <c r="K24" i="7"/>
  <c r="K37" i="12"/>
  <c r="V79" i="21"/>
  <c r="G37" i="12"/>
  <c r="E39" i="10"/>
  <c r="E42" i="10" s="1"/>
  <c r="E37" i="8"/>
  <c r="E37" i="13"/>
  <c r="E47" i="9"/>
  <c r="E26" i="7"/>
  <c r="E42" i="8"/>
  <c r="E46" i="8" s="1"/>
  <c r="T117" i="18"/>
  <c r="K21" i="13"/>
  <c r="O21" i="13" s="1"/>
  <c r="G20" i="13"/>
  <c r="G30" i="13"/>
  <c r="K22" i="7"/>
  <c r="G27" i="14"/>
  <c r="AG100" i="24"/>
  <c r="D92" i="21"/>
  <c r="G25" i="7"/>
  <c r="K25" i="7" s="1"/>
  <c r="Q33" i="14"/>
  <c r="Q37" i="14" s="1"/>
  <c r="AJ32" i="24"/>
  <c r="AL32" i="24" s="1"/>
  <c r="AI95" i="18"/>
  <c r="AK95" i="18" s="1"/>
  <c r="X92" i="21"/>
  <c r="N92" i="21"/>
  <c r="J92" i="21"/>
  <c r="AI130" i="18"/>
  <c r="AK130" i="18" s="1"/>
  <c r="G38" i="9"/>
  <c r="AI128" i="18"/>
  <c r="AK128" i="18" s="1"/>
  <c r="AI115" i="18"/>
  <c r="AK115" i="18" s="1"/>
  <c r="G36" i="9"/>
  <c r="AI114" i="18"/>
  <c r="AK114" i="18" s="1"/>
  <c r="G33" i="14"/>
  <c r="AK44" i="18"/>
  <c r="H92" i="21"/>
  <c r="AJ85" i="24"/>
  <c r="AL85" i="24" s="1"/>
  <c r="AI124" i="18"/>
  <c r="AK124" i="18" s="1"/>
  <c r="F92" i="21"/>
  <c r="AJ109" i="20"/>
  <c r="AL109" i="20" s="1"/>
  <c r="R120" i="18"/>
  <c r="AI101" i="18"/>
  <c r="AK101" i="18" s="1"/>
  <c r="V82" i="21" l="1"/>
  <c r="V92" i="21" s="1"/>
  <c r="K31" i="9"/>
  <c r="I35" i="9"/>
  <c r="K35" i="9"/>
  <c r="I36" i="9"/>
  <c r="K36" i="9"/>
  <c r="I38" i="9"/>
  <c r="K38" i="9"/>
  <c r="F49" i="3"/>
  <c r="K30" i="13"/>
  <c r="O30" i="13" s="1"/>
  <c r="G37" i="14"/>
  <c r="K37" i="14" s="1"/>
  <c r="AI134" i="18"/>
  <c r="AK134"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30" i="16" l="1"/>
  <c r="AJ74" i="21"/>
  <c r="AL74" i="21" s="1"/>
  <c r="AJ68" i="21"/>
  <c r="AL68" i="21" s="1"/>
  <c r="AJ95" i="20"/>
  <c r="AL95"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J96" i="20"/>
  <c r="AL96" i="20" s="1"/>
  <c r="AJ94" i="20"/>
  <c r="AL94" i="20" s="1"/>
  <c r="AJ93" i="20"/>
  <c r="AL93" i="20" s="1"/>
  <c r="AJ91" i="20"/>
  <c r="AL91" i="20" s="1"/>
  <c r="AJ90" i="20"/>
  <c r="AL90" i="20" s="1"/>
  <c r="AJ89" i="20"/>
  <c r="AL89" i="20" s="1"/>
  <c r="AJ83" i="20"/>
  <c r="AL83" i="20" s="1"/>
  <c r="T25" i="11" l="1"/>
  <c r="V25" i="11"/>
  <c r="V26" i="11" s="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T29" i="11" l="1"/>
  <c r="V29" i="11"/>
  <c r="V35" i="11" s="1"/>
  <c r="K59" i="30"/>
  <c r="I26" i="10"/>
  <c r="K25" i="10"/>
  <c r="O25" i="10" s="1"/>
  <c r="O26" i="10" s="1"/>
  <c r="AL70" i="21"/>
  <c r="AD119" i="20"/>
  <c r="AL115" i="20"/>
  <c r="AE123" i="16"/>
  <c r="AJ88" i="21"/>
  <c r="AJ115" i="20"/>
  <c r="AJ119" i="20" s="1"/>
  <c r="G39" i="11"/>
  <c r="K39" i="11" s="1"/>
  <c r="AL79" i="21"/>
  <c r="AJ70" i="21"/>
  <c r="K26" i="10" l="1"/>
  <c r="AL119" i="20"/>
  <c r="G29" i="10"/>
  <c r="R35" i="11"/>
  <c r="R39" i="11" s="1"/>
  <c r="V39" i="11" s="1"/>
  <c r="AJ79" i="21"/>
  <c r="AL82" i="21"/>
  <c r="K29" i="10" l="1"/>
  <c r="O29" i="10" s="1"/>
  <c r="O35" i="10" s="1"/>
  <c r="O39" i="10" s="1"/>
  <c r="G35" i="10"/>
  <c r="G39" i="10" s="1"/>
  <c r="AD92" i="21"/>
  <c r="AJ92" i="21"/>
  <c r="J15" i="6"/>
  <c r="AL92" i="21" l="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Z138" i="18"/>
  <c r="R138" i="18"/>
  <c r="L138" i="18"/>
  <c r="J138" i="18"/>
  <c r="H138" i="18"/>
  <c r="F138" i="18"/>
  <c r="AJ103" i="19" l="1"/>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AJ117" i="19" l="1"/>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09" i="42"/>
  <c r="G256" i="42"/>
  <c r="G204" i="42"/>
  <c r="E37" i="7"/>
  <c r="E47" i="7"/>
  <c r="G259" i="42" l="1"/>
  <c r="AD34" i="2"/>
  <c r="AD42" i="2" s="1"/>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U138" i="16" s="1"/>
  <c r="R49" i="2"/>
  <c r="R51" i="2" s="1"/>
  <c r="R25" i="2"/>
  <c r="R34" i="2" s="1"/>
  <c r="R42" i="2" s="1"/>
  <c r="AB138" i="16" l="1"/>
  <c r="AN86" i="23" l="1"/>
  <c r="AH138" i="16"/>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2" i="16"/>
  <c r="J25" i="6" l="1"/>
  <c r="S24" i="6"/>
  <c r="U24" i="6" s="1"/>
  <c r="J24" i="6"/>
  <c r="L23" i="6"/>
  <c r="S23" i="6" s="1"/>
  <c r="U23" i="6" s="1"/>
  <c r="J23" i="6"/>
  <c r="J19" i="6"/>
  <c r="H15" i="6"/>
  <c r="L14" i="6"/>
  <c r="H14" i="6"/>
  <c r="P14" i="6" s="1"/>
  <c r="S26" i="6" l="1"/>
  <c r="U26" i="6" s="1"/>
  <c r="J26" i="6"/>
  <c r="J29" i="6" s="1"/>
  <c r="J39" i="6" s="1"/>
  <c r="L26" i="6"/>
  <c r="AG48" i="2" l="1"/>
  <c r="AB130" i="16"/>
  <c r="AA12" i="3"/>
  <c r="AG51" i="2" l="1"/>
  <c r="AI51" i="2" s="1"/>
  <c r="C123" i="16"/>
  <c r="C132" i="16" s="1"/>
  <c r="AH130" i="16"/>
  <c r="AJ130" i="16" s="1"/>
  <c r="F14" i="2" l="1"/>
  <c r="F15" i="3" l="1"/>
  <c r="F20" i="2"/>
  <c r="F21" i="3" l="1"/>
  <c r="T15" i="3"/>
  <c r="C135"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L39" i="6" l="1"/>
  <c r="AG37" i="29"/>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1" i="17"/>
  <c r="AE26" i="17" s="1"/>
  <c r="AF26" i="18"/>
  <c r="AD14" i="2" s="1"/>
  <c r="AA15" i="3" l="1"/>
  <c r="AF54" i="18"/>
  <c r="AF97" i="18" s="1"/>
  <c r="AD21" i="15"/>
  <c r="AH21" i="15" s="1"/>
  <c r="AE30" i="17"/>
  <c r="AE59" i="17" s="1"/>
  <c r="AE109" i="17" s="1"/>
  <c r="AF120" i="18" l="1"/>
  <c r="K110" i="30"/>
  <c r="AH16" i="15"/>
  <c r="AJ16" i="15" s="1"/>
  <c r="AJ21" i="15"/>
  <c r="AD25" i="15"/>
  <c r="AE30" i="16"/>
  <c r="AE59" i="16" s="1"/>
  <c r="AI26" i="18"/>
  <c r="AD20" i="2"/>
  <c r="AD15" i="3"/>
  <c r="AA21" i="3"/>
  <c r="AA46" i="3" s="1"/>
  <c r="AA55" i="3" s="1"/>
  <c r="AE135" i="17"/>
  <c r="AF138" i="18" l="1"/>
  <c r="AF140" i="18" s="1"/>
  <c r="AD57" i="15"/>
  <c r="AE109" i="16"/>
  <c r="AF15" i="3"/>
  <c r="AD21" i="3"/>
  <c r="AI54" i="18"/>
  <c r="AK26" i="18"/>
  <c r="AE145" i="17"/>
  <c r="AD45" i="2"/>
  <c r="AD55" i="2" s="1"/>
  <c r="AI138" i="18" l="1"/>
  <c r="AK138" i="18" s="1"/>
  <c r="AD38" i="28"/>
  <c r="AE135" i="16"/>
  <c r="AI97" i="18"/>
  <c r="AK97" i="18" s="1"/>
  <c r="AK54" i="18"/>
  <c r="AF21" i="3"/>
  <c r="AE146" i="16" l="1"/>
  <c r="Z25" i="43" l="1"/>
  <c r="Z32" i="43"/>
  <c r="Z30" i="43"/>
  <c r="N43" i="43"/>
  <c r="N45" i="43" s="1"/>
  <c r="P12" i="43" s="1"/>
  <c r="Z37" i="43" l="1"/>
  <c r="AB37" i="15"/>
  <c r="F26" i="2" l="1"/>
  <c r="X26" i="2" s="1"/>
  <c r="X34" i="2" s="1"/>
  <c r="G34" i="9"/>
  <c r="AI103" i="18"/>
  <c r="AK103" i="18" s="1"/>
  <c r="I34" i="9" l="1"/>
  <c r="K34" i="9"/>
  <c r="K43" i="9" s="1"/>
  <c r="K47" i="9" s="1"/>
  <c r="G43" i="9"/>
  <c r="G47" i="9" s="1"/>
  <c r="W123" i="16"/>
  <c r="W132" i="16" s="1"/>
  <c r="W135" i="16" s="1"/>
  <c r="AI34" i="2"/>
  <c r="X42" i="2"/>
  <c r="X111" i="18"/>
  <c r="X117" i="18" s="1"/>
  <c r="F34" i="2"/>
  <c r="F42" i="2" s="1"/>
  <c r="F45" i="2" s="1"/>
  <c r="F27" i="3"/>
  <c r="AI120" i="18"/>
  <c r="AK120" i="18" s="1"/>
  <c r="AI26" i="2"/>
  <c r="AG26" i="2"/>
  <c r="AG34" i="2" s="1"/>
  <c r="AG42" i="2" s="1"/>
  <c r="G29" i="7"/>
  <c r="K29" i="7" s="1"/>
  <c r="AI111" i="18"/>
  <c r="K34" i="7" l="1"/>
  <c r="K37" i="7" s="1"/>
  <c r="F55" i="2"/>
  <c r="AI42" i="2"/>
  <c r="W123" i="17"/>
  <c r="F35" i="3"/>
  <c r="T27" i="3"/>
  <c r="AK111" i="18"/>
  <c r="AI117" i="18"/>
  <c r="AK117" i="18" s="1"/>
  <c r="G34" i="7"/>
  <c r="W132" i="17" l="1"/>
  <c r="W135" i="17" s="1"/>
  <c r="W145" i="17" s="1"/>
  <c r="F43" i="3"/>
  <c r="F46" i="3" s="1"/>
  <c r="F55" i="3" s="1"/>
  <c r="V50" i="2"/>
  <c r="U140" i="16" s="1"/>
  <c r="U142" i="16" s="1"/>
  <c r="U146" i="16" s="1"/>
  <c r="AD27" i="3"/>
  <c r="T35" i="3"/>
  <c r="T43" i="3" s="1"/>
  <c r="G37" i="7"/>
  <c r="AB140" i="16" l="1"/>
  <c r="Q142" i="16"/>
  <c r="Q146" i="16" s="1"/>
  <c r="S142" i="16"/>
  <c r="V51" i="2"/>
  <c r="G29" i="8"/>
  <c r="K29" i="8" s="1"/>
  <c r="T46" i="3"/>
  <c r="T55" i="3" s="1"/>
  <c r="AF27" i="3"/>
  <c r="AD35" i="3"/>
  <c r="AD43" i="3" s="1"/>
  <c r="AF43" i="3" l="1"/>
  <c r="AD46" i="3"/>
  <c r="AF46" i="3" s="1"/>
  <c r="G34" i="8"/>
  <c r="K34" i="8"/>
  <c r="K46" i="8" s="1"/>
  <c r="AF35" i="3"/>
  <c r="AD55" i="3" l="1"/>
  <c r="AF55" i="3" s="1"/>
  <c r="G46" i="8"/>
  <c r="G37" i="8"/>
  <c r="K37" i="8"/>
  <c r="D26" i="18" l="1"/>
  <c r="K94" i="30" l="1"/>
  <c r="E101" i="30"/>
  <c r="D54" i="18"/>
  <c r="D97" i="18" s="1"/>
  <c r="D120" i="18" s="1"/>
  <c r="D138" i="18" s="1"/>
  <c r="N21" i="5" l="1"/>
  <c r="N32" i="5" l="1"/>
  <c r="N42" i="5" s="1"/>
  <c r="E23" i="23"/>
  <c r="E33" i="23" l="1"/>
  <c r="E65" i="23" s="1"/>
  <c r="E89" i="23" s="1"/>
  <c r="E101" i="23" s="1"/>
  <c r="AB117" i="19" l="1"/>
  <c r="AB121" i="19" s="1"/>
  <c r="AB123" i="19" s="1"/>
  <c r="N26" i="18" l="1"/>
  <c r="N36" i="18" l="1"/>
  <c r="N54" i="18" l="1"/>
  <c r="N97" i="18" s="1"/>
  <c r="N111" i="18" l="1"/>
  <c r="N117" i="18" s="1"/>
  <c r="N120" i="18" l="1"/>
  <c r="N138" i="18" l="1"/>
  <c r="V20" i="15" l="1"/>
  <c r="V18" i="15"/>
  <c r="V17" i="15"/>
  <c r="V19" i="15"/>
  <c r="T26" i="18"/>
  <c r="V21" i="15" l="1"/>
  <c r="T54" i="18"/>
  <c r="T97" i="18" s="1"/>
  <c r="T120" i="18" s="1"/>
  <c r="T138" i="18" s="1"/>
  <c r="S30" i="16" l="1"/>
  <c r="S59" i="16" l="1"/>
  <c r="U42" i="25" l="1"/>
  <c r="U46" i="25" s="1"/>
  <c r="U70" i="25" s="1"/>
  <c r="U80" i="25" s="1"/>
  <c r="S105" i="16" l="1"/>
  <c r="S109" i="16" s="1"/>
  <c r="S135" i="16" s="1"/>
  <c r="S146" i="16" s="1"/>
  <c r="D38" i="3" l="1"/>
  <c r="D34" i="3"/>
  <c r="R34" i="3" s="1"/>
  <c r="AB43" i="17"/>
  <c r="AH43" i="17" s="1"/>
  <c r="V30" i="2"/>
  <c r="V16" i="2"/>
  <c r="V31" i="2"/>
  <c r="AB54" i="17"/>
  <c r="AH54" i="17" s="1"/>
  <c r="AJ54" i="17" s="1"/>
  <c r="AB138" i="17"/>
  <c r="AH138" i="17" s="1"/>
  <c r="AB103" i="17"/>
  <c r="AH103" i="17" s="1"/>
  <c r="AJ103" i="17" s="1"/>
  <c r="AB63" i="16"/>
  <c r="D33" i="3"/>
  <c r="R33" i="3" s="1"/>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D37" i="3"/>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B122" i="16"/>
  <c r="AH122" i="16" s="1"/>
  <c r="AJ122" i="16" s="1"/>
  <c r="AB85" i="16"/>
  <c r="AH85" i="16" s="1"/>
  <c r="AJ85" i="16" s="1"/>
  <c r="AB66" i="17"/>
  <c r="AH66" i="17" s="1"/>
  <c r="AJ66" i="17" s="1"/>
  <c r="AB55" i="17"/>
  <c r="AH55" i="17" s="1"/>
  <c r="AJ55" i="17" s="1"/>
  <c r="AB24" i="16"/>
  <c r="AB23" i="17"/>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D50" i="3"/>
  <c r="R50" i="3" s="1"/>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D14" i="2" s="1"/>
  <c r="V14" i="2" s="1"/>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H24" i="16"/>
  <c r="AJ24" i="16" s="1"/>
  <c r="AB57" i="17"/>
  <c r="AH23" i="17"/>
  <c r="AJ23" i="17" s="1"/>
  <c r="AB26" i="17"/>
  <c r="V54" i="18"/>
  <c r="V97" i="18" s="1"/>
  <c r="D30" i="3"/>
  <c r="R30" i="3" s="1"/>
  <c r="V33" i="2"/>
  <c r="D26" i="3"/>
  <c r="R26" i="3" s="1"/>
  <c r="D17" i="3"/>
  <c r="R17" i="3" s="1"/>
  <c r="D32" i="3"/>
  <c r="R32" i="3" s="1"/>
  <c r="D31" i="3"/>
  <c r="R31" i="3" s="1"/>
  <c r="V36" i="2"/>
  <c r="AH51" i="17"/>
  <c r="AH57" i="17" s="1"/>
  <c r="D18" i="3"/>
  <c r="R18" i="3" s="1"/>
  <c r="V17" i="2"/>
  <c r="AB105" i="17"/>
  <c r="AH64" i="17"/>
  <c r="D51" i="2"/>
  <c r="AH43" i="16"/>
  <c r="AB49" i="16"/>
  <c r="AH123" i="17"/>
  <c r="AH63" i="16"/>
  <c r="V28" i="2"/>
  <c r="D29" i="3"/>
  <c r="R29" i="3" s="1"/>
  <c r="AH107" i="16"/>
  <c r="AB123" i="17"/>
  <c r="AH107" i="17"/>
  <c r="AJ107" i="17" s="1"/>
  <c r="V24" i="2"/>
  <c r="AB123" i="16"/>
  <c r="AH113" i="16"/>
  <c r="V38" i="2"/>
  <c r="D39" i="3"/>
  <c r="R39" i="3" s="1"/>
  <c r="AH32" i="16"/>
  <c r="D25" i="3"/>
  <c r="D19" i="3"/>
  <c r="R19" i="3" s="1"/>
  <c r="AB51" i="16"/>
  <c r="AB57" i="16" s="1"/>
  <c r="AJ43" i="17"/>
  <c r="AH49" i="17"/>
  <c r="AJ49" i="17" s="1"/>
  <c r="AB49" i="17"/>
  <c r="D49" i="3"/>
  <c r="AB32" i="17"/>
  <c r="AJ138" i="17"/>
  <c r="V19" i="2"/>
  <c r="D20" i="3"/>
  <c r="R20" i="3" s="1"/>
  <c r="R37" i="3"/>
  <c r="V26" i="2"/>
  <c r="D27" i="3"/>
  <c r="R27" i="3" s="1"/>
  <c r="D16" i="3"/>
  <c r="R16" i="3" s="1"/>
  <c r="AB141" i="17"/>
  <c r="V32" i="2"/>
  <c r="V120" i="18" l="1"/>
  <c r="V138" i="18" s="1"/>
  <c r="X120" i="18"/>
  <c r="X138" i="18" s="1"/>
  <c r="M142" i="16"/>
  <c r="K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D15" i="3"/>
  <c r="AH51" i="16"/>
  <c r="AH57" i="16" s="1"/>
  <c r="D35" i="3"/>
  <c r="D43" i="3" s="1"/>
  <c r="R25" i="3"/>
  <c r="R35" i="3" s="1"/>
  <c r="AJ123" i="17"/>
  <c r="O142" i="16" l="1"/>
  <c r="D45" i="2"/>
  <c r="D55" i="2" s="1"/>
  <c r="I142" i="16"/>
  <c r="I146" i="16" s="1"/>
  <c r="G142" i="16"/>
  <c r="G146" i="16" s="1"/>
  <c r="W142" i="16"/>
  <c r="W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R37" i="43" l="1"/>
  <c r="R43" i="43" s="1"/>
  <c r="H17" i="32" l="1"/>
  <c r="C39" i="13" l="1"/>
  <c r="E40" i="13" l="1"/>
  <c r="N45" i="5" l="1"/>
  <c r="F17" i="32"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3"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P45" i="43"/>
  <c r="R12" i="43" s="1"/>
  <c r="R45" i="43" l="1"/>
  <c r="T12" i="43" s="1"/>
  <c r="Z43" i="43"/>
  <c r="Z45" i="43" s="1"/>
  <c r="T37" i="43"/>
  <c r="T43" i="43" s="1"/>
  <c r="T45" i="43" l="1"/>
  <c r="V45" i="43" l="1"/>
  <c r="Z37" i="20"/>
  <c r="Z85" i="20" s="1"/>
  <c r="Z109" i="20" s="1"/>
  <c r="Z119" i="20" s="1"/>
  <c r="R15" i="3"/>
  <c r="R21" i="3" s="1"/>
  <c r="AB27" i="17"/>
  <c r="X45" i="43" l="1"/>
  <c r="H21" i="3"/>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7" i="37"/>
  <c r="B47" i="37"/>
  <c r="D12" i="37" s="1"/>
  <c r="AG102" i="24"/>
  <c r="AB46" i="15"/>
  <c r="AG94" i="21"/>
  <c r="D47" i="37" l="1"/>
  <c r="F12" i="37" s="1"/>
  <c r="I209" i="42"/>
  <c r="I102" i="42"/>
  <c r="I199" i="42"/>
  <c r="K204" i="42"/>
  <c r="K11" i="42"/>
  <c r="M14" i="42"/>
  <c r="K102" i="42"/>
  <c r="K209" i="42"/>
  <c r="K186" i="42"/>
  <c r="D140" i="18"/>
  <c r="F12" i="18" s="1"/>
  <c r="I256" i="42"/>
  <c r="I186" i="42"/>
  <c r="K256" i="42"/>
  <c r="I204" i="42"/>
  <c r="I11" i="42"/>
  <c r="G49" i="9" l="1"/>
  <c r="AI140" i="18"/>
  <c r="AK140" i="18" s="1"/>
  <c r="E50" i="7"/>
  <c r="F47" i="37"/>
  <c r="H12" i="37" s="1"/>
  <c r="M199" i="42"/>
  <c r="AI12" i="18"/>
  <c r="AK12" i="18" s="1"/>
  <c r="AD13" i="20"/>
  <c r="AJ13" i="20" s="1"/>
  <c r="D121" i="20"/>
  <c r="F13" i="20" s="1"/>
  <c r="J57" i="3"/>
  <c r="J59" i="3" s="1"/>
  <c r="G41" i="11"/>
  <c r="D13" i="19"/>
  <c r="J57" i="2" s="1"/>
  <c r="D94" i="21"/>
  <c r="F13" i="21" s="1"/>
  <c r="AD13" i="21"/>
  <c r="AJ13" i="21" s="1"/>
  <c r="R41" i="11"/>
  <c r="K259" i="42"/>
  <c r="I259" i="42"/>
  <c r="E50" i="9"/>
  <c r="F57" i="3"/>
  <c r="F59" i="2"/>
  <c r="C49" i="7"/>
  <c r="C48" i="8"/>
  <c r="K49" i="9" l="1"/>
  <c r="K50" i="9" s="1"/>
  <c r="G50" i="9"/>
  <c r="T41" i="11"/>
  <c r="V41" i="11"/>
  <c r="V42" i="11" s="1"/>
  <c r="I41" i="11"/>
  <c r="K41" i="11"/>
  <c r="K42" i="11" s="1"/>
  <c r="AL13" i="21"/>
  <c r="I49" i="9"/>
  <c r="E49" i="8"/>
  <c r="H47" i="37"/>
  <c r="J12" i="37" s="1"/>
  <c r="F94" i="21"/>
  <c r="H13" i="21" s="1"/>
  <c r="F140" i="18"/>
  <c r="H12" i="18" s="1"/>
  <c r="AD94" i="21"/>
  <c r="G42" i="11"/>
  <c r="AD121" i="20"/>
  <c r="G41" i="10"/>
  <c r="K41" i="10" s="1"/>
  <c r="R42" i="11"/>
  <c r="AD13" i="19"/>
  <c r="D123" i="19"/>
  <c r="F13" i="19" s="1"/>
  <c r="F59" i="3"/>
  <c r="AL13" i="20"/>
  <c r="AJ121" i="20"/>
  <c r="AL121" i="20" s="1"/>
  <c r="M41" i="10" l="1"/>
  <c r="O41" i="10"/>
  <c r="O42" i="10" s="1"/>
  <c r="AJ94" i="21"/>
  <c r="AL94" i="21" s="1"/>
  <c r="J47" i="37"/>
  <c r="L12" i="37" s="1"/>
  <c r="H94" i="21"/>
  <c r="J13" i="21" s="1"/>
  <c r="F121" i="20"/>
  <c r="H13" i="20" s="1"/>
  <c r="G42" i="10"/>
  <c r="AL13" i="19"/>
  <c r="AJ13" i="19"/>
  <c r="K42" i="10"/>
  <c r="L47" i="37" l="1"/>
  <c r="N12" i="37" s="1"/>
  <c r="J94" i="21"/>
  <c r="H140" i="18"/>
  <c r="J12" i="18" s="1"/>
  <c r="L13" i="21" l="1"/>
  <c r="L94" i="21" s="1"/>
  <c r="N13" i="21" s="1"/>
  <c r="H121" i="20"/>
  <c r="J13" i="20" s="1"/>
  <c r="K34" i="31"/>
  <c r="N47" i="37" l="1"/>
  <c r="N94" i="21"/>
  <c r="P13" i="21" s="1"/>
  <c r="J140" i="18"/>
  <c r="L12" i="18" s="1"/>
  <c r="K40" i="30"/>
  <c r="P12" i="37" l="1"/>
  <c r="P47" i="37" s="1"/>
  <c r="R12" i="37" s="1"/>
  <c r="R47" i="37" s="1"/>
  <c r="T12" i="37" s="1"/>
  <c r="P94" i="21"/>
  <c r="R13" i="21" s="1"/>
  <c r="L13" i="20"/>
  <c r="L121" i="20" l="1"/>
  <c r="N13" i="20" s="1"/>
  <c r="T47" i="37"/>
  <c r="R94" i="21"/>
  <c r="T13" i="21" s="1"/>
  <c r="L140" i="18"/>
  <c r="N12" i="18" s="1"/>
  <c r="G42" i="31"/>
  <c r="G45" i="31" s="1"/>
  <c r="V47" i="37" l="1"/>
  <c r="T94" i="21"/>
  <c r="V13" i="21" s="1"/>
  <c r="K97" i="30"/>
  <c r="X47" i="37" l="1"/>
  <c r="V94" i="21"/>
  <c r="N140" i="18"/>
  <c r="P12" i="18" s="1"/>
  <c r="K152" i="30"/>
  <c r="X94" i="21" l="1"/>
  <c r="N121" i="20"/>
  <c r="P13" i="20" s="1"/>
  <c r="K60" i="30"/>
  <c r="Z94" i="21" l="1"/>
  <c r="P140" i="18"/>
  <c r="R12" i="18" s="1"/>
  <c r="K40" i="31"/>
  <c r="R140" i="18" l="1"/>
  <c r="T12" i="18" s="1"/>
  <c r="P121" i="20"/>
  <c r="R13" i="20" s="1"/>
  <c r="R30" i="35" l="1"/>
  <c r="V30" i="35" s="1"/>
  <c r="T140" i="18" l="1"/>
  <c r="V12" i="18" s="1"/>
  <c r="D57" i="2" s="1"/>
  <c r="R121" i="20"/>
  <c r="T13" i="20" s="1"/>
  <c r="I29" i="45"/>
  <c r="G29" i="45"/>
  <c r="Y43" i="3" l="1"/>
  <c r="Y21" i="3"/>
  <c r="V140" i="18" l="1"/>
  <c r="T121" i="20"/>
  <c r="V13" i="20" s="1"/>
  <c r="H57" i="3" s="1"/>
  <c r="N59" i="2"/>
  <c r="B78" i="22"/>
  <c r="C16" i="17"/>
  <c r="AB16" i="17" s="1"/>
  <c r="AA12" i="22"/>
  <c r="Y46" i="3"/>
  <c r="Y55" i="3" s="1"/>
  <c r="AA78" i="22" l="1"/>
  <c r="G39" i="12"/>
  <c r="K39" i="12" s="1"/>
  <c r="D12" i="22"/>
  <c r="C147" i="17"/>
  <c r="E16" i="17" s="1"/>
  <c r="N57" i="3"/>
  <c r="T57" i="3" l="1"/>
  <c r="T59" i="3" s="1"/>
  <c r="N59" i="3"/>
  <c r="K40" i="12"/>
  <c r="I39" i="12"/>
  <c r="E147" i="17"/>
  <c r="D78" i="22"/>
  <c r="X140" i="18"/>
  <c r="V121" i="20"/>
  <c r="Y59" i="3"/>
  <c r="G40" i="12"/>
  <c r="G48" i="8" l="1"/>
  <c r="F12" i="22"/>
  <c r="G16" i="17"/>
  <c r="G147" i="17" s="1"/>
  <c r="K48" i="8" l="1"/>
  <c r="K49" i="8" s="1"/>
  <c r="I48" i="8"/>
  <c r="I16" i="17"/>
  <c r="I147" i="17" s="1"/>
  <c r="K16" i="17" s="1"/>
  <c r="G49" i="8"/>
  <c r="F78" i="22"/>
  <c r="Z140" i="18"/>
  <c r="X121" i="20"/>
  <c r="H12" i="22" l="1"/>
  <c r="Z121" i="20"/>
  <c r="H59" i="3"/>
  <c r="D57" i="3"/>
  <c r="D59" i="3" s="1"/>
  <c r="D59" i="2"/>
  <c r="X123" i="19"/>
  <c r="G101" i="30"/>
  <c r="K98" i="30"/>
  <c r="H78" i="22" l="1"/>
  <c r="J12" i="22" s="1"/>
  <c r="Z123" i="19"/>
  <c r="W147" i="17" l="1"/>
  <c r="Y147" i="17" l="1"/>
  <c r="E31" i="44" l="1"/>
  <c r="E43" i="44" l="1"/>
  <c r="K118" i="30"/>
  <c r="C43" i="44"/>
  <c r="E47" i="44" l="1"/>
  <c r="C47" i="44"/>
  <c r="I24" i="44"/>
  <c r="I43" i="44" l="1"/>
  <c r="K45" i="30"/>
  <c r="G43" i="44"/>
  <c r="R15" i="35" l="1"/>
  <c r="V15" i="35" s="1"/>
  <c r="V78" i="22" l="1"/>
  <c r="L29" i="32" l="1"/>
  <c r="X78" i="22" l="1"/>
  <c r="R24" i="35"/>
  <c r="R41" i="35" l="1"/>
  <c r="R22" i="35"/>
  <c r="R21" i="35"/>
  <c r="R36" i="35"/>
  <c r="V36" i="35" s="1"/>
  <c r="K150" i="30"/>
  <c r="E21" i="45" l="1"/>
  <c r="C25" i="45" l="1"/>
  <c r="C29" i="45" s="1"/>
  <c r="E22" i="45"/>
  <c r="D25" i="45"/>
  <c r="D29" i="45" s="1"/>
  <c r="E25" i="45" l="1"/>
  <c r="E29" i="45" l="1"/>
  <c r="I65" i="34"/>
  <c r="Q65" i="34"/>
  <c r="R20" i="35"/>
  <c r="V20" i="35" s="1"/>
  <c r="L43" i="35"/>
  <c r="K109" i="30"/>
  <c r="S65" i="34"/>
  <c r="K111" i="30"/>
  <c r="I113" i="30"/>
  <c r="I45" i="44" l="1"/>
  <c r="G47" i="44"/>
  <c r="I47" i="44" l="1"/>
  <c r="E155" i="30"/>
  <c r="T43" i="35"/>
  <c r="I155" i="30"/>
  <c r="E24" i="30"/>
  <c r="J45" i="32"/>
  <c r="R18" i="35"/>
  <c r="V18" i="35" s="1"/>
  <c r="E91" i="30"/>
  <c r="E103" i="30" s="1"/>
  <c r="H45" i="32"/>
  <c r="H48" i="32" s="1"/>
  <c r="K65" i="34"/>
  <c r="I42" i="31"/>
  <c r="G91" i="30"/>
  <c r="G103" i="30" s="1"/>
  <c r="I101" i="30"/>
  <c r="G24" i="30"/>
  <c r="F43" i="35"/>
  <c r="I24" i="30"/>
  <c r="F45" i="32"/>
  <c r="F48" i="32" s="1"/>
  <c r="G155" i="30"/>
  <c r="E42" i="31"/>
  <c r="E45" i="31" s="1"/>
  <c r="N43" i="35"/>
  <c r="R25" i="35"/>
  <c r="V25" i="35" s="1"/>
  <c r="M154" i="42"/>
  <c r="M139" i="42"/>
  <c r="AB16" i="26"/>
  <c r="D44" i="5" s="1"/>
  <c r="D45" i="5" s="1"/>
  <c r="C51" i="26"/>
  <c r="M147" i="42"/>
  <c r="K29" i="30"/>
  <c r="C25" i="8"/>
  <c r="I25" i="8" s="1"/>
  <c r="M152" i="42"/>
  <c r="K121" i="30"/>
  <c r="E82" i="25"/>
  <c r="Q39" i="14"/>
  <c r="AD14" i="25"/>
  <c r="AD82" i="25" s="1"/>
  <c r="K20" i="31"/>
  <c r="M181" i="42"/>
  <c r="C34" i="10"/>
  <c r="M34" i="10" s="1"/>
  <c r="K53" i="30"/>
  <c r="R26" i="35"/>
  <c r="V26" i="35" s="1"/>
  <c r="J43" i="35"/>
  <c r="L44" i="32"/>
  <c r="K23" i="30"/>
  <c r="K69" i="30"/>
  <c r="C30" i="10"/>
  <c r="M30" i="10" s="1"/>
  <c r="K21" i="31"/>
  <c r="V41" i="35"/>
  <c r="K149" i="30"/>
  <c r="M120" i="42"/>
  <c r="M183" i="42"/>
  <c r="R40" i="35"/>
  <c r="V40" i="35" s="1"/>
  <c r="M253" i="42"/>
  <c r="M222" i="42"/>
  <c r="K84" i="30"/>
  <c r="K65" i="30"/>
  <c r="M252" i="42"/>
  <c r="M167" i="42"/>
  <c r="M232" i="42"/>
  <c r="M129" i="42"/>
  <c r="M94" i="42"/>
  <c r="M169" i="42"/>
  <c r="O256" i="42"/>
  <c r="M212" i="42"/>
  <c r="M117" i="42"/>
  <c r="K17" i="30"/>
  <c r="K133" i="30"/>
  <c r="M160" i="42"/>
  <c r="M248" i="42"/>
  <c r="M157" i="42"/>
  <c r="R39" i="35"/>
  <c r="V39" i="35" s="1"/>
  <c r="D43" i="35"/>
  <c r="K128" i="30"/>
  <c r="K82" i="30"/>
  <c r="C23" i="13"/>
  <c r="M23" i="13" s="1"/>
  <c r="K18" i="30"/>
  <c r="M184" i="42"/>
  <c r="K19" i="31"/>
  <c r="M146" i="42"/>
  <c r="M116" i="42"/>
  <c r="K129" i="30"/>
  <c r="C24" i="13"/>
  <c r="M24" i="13" s="1"/>
  <c r="L30" i="32"/>
  <c r="M41" i="34"/>
  <c r="M109" i="42"/>
  <c r="P43" i="35"/>
  <c r="K130" i="30"/>
  <c r="C31" i="10"/>
  <c r="M31" i="10" s="1"/>
  <c r="L42" i="32"/>
  <c r="M165" i="42"/>
  <c r="K86" i="30"/>
  <c r="M136" i="42"/>
  <c r="K43" i="30"/>
  <c r="K146" i="30"/>
  <c r="L34" i="32"/>
  <c r="M255" i="42"/>
  <c r="M128" i="42"/>
  <c r="M112" i="42"/>
  <c r="L17" i="32"/>
  <c r="J17" i="32"/>
  <c r="M131" i="42"/>
  <c r="K36" i="30"/>
  <c r="M123" i="42"/>
  <c r="M143" i="42"/>
  <c r="K54" i="30"/>
  <c r="C21" i="13"/>
  <c r="M21" i="13" s="1"/>
  <c r="K22" i="30"/>
  <c r="K32" i="30"/>
  <c r="K47" i="30"/>
  <c r="L43" i="32"/>
  <c r="M203" i="42"/>
  <c r="M144" i="42"/>
  <c r="R37" i="35"/>
  <c r="V37" i="35" s="1"/>
  <c r="K139" i="30"/>
  <c r="M177" i="42"/>
  <c r="L37" i="32"/>
  <c r="L36" i="32"/>
  <c r="K52" i="30"/>
  <c r="L39" i="32"/>
  <c r="M158" i="42"/>
  <c r="K120" i="30"/>
  <c r="M182" i="42"/>
  <c r="L38" i="32"/>
  <c r="M137" i="42"/>
  <c r="K154" i="30"/>
  <c r="I22" i="8"/>
  <c r="C22" i="10"/>
  <c r="M130" i="42"/>
  <c r="M84" i="42"/>
  <c r="M161" i="42"/>
  <c r="K123" i="30"/>
  <c r="M134" i="42"/>
  <c r="M241" i="42"/>
  <c r="M231" i="42"/>
  <c r="M20" i="34"/>
  <c r="L32" i="32"/>
  <c r="K55" i="30"/>
  <c r="M114" i="42"/>
  <c r="M83" i="42"/>
  <c r="R32" i="35"/>
  <c r="V32" i="35" s="1"/>
  <c r="C32" i="13"/>
  <c r="M32" i="13" s="1"/>
  <c r="O11" i="42"/>
  <c r="M11" i="42"/>
  <c r="E113" i="30"/>
  <c r="K106" i="30"/>
  <c r="M75" i="42"/>
  <c r="M138" i="42"/>
  <c r="K41" i="30"/>
  <c r="M156" i="42"/>
  <c r="M185" i="42"/>
  <c r="M76" i="42"/>
  <c r="K90" i="30"/>
  <c r="M245" i="42"/>
  <c r="M124" i="42"/>
  <c r="K33" i="30"/>
  <c r="M217" i="42"/>
  <c r="M238" i="42"/>
  <c r="M101" i="42"/>
  <c r="K31" i="30"/>
  <c r="K21" i="30"/>
  <c r="K153" i="30"/>
  <c r="V22" i="35"/>
  <c r="C24" i="8"/>
  <c r="I24" i="8" s="1"/>
  <c r="C23" i="8"/>
  <c r="I23" i="8" s="1"/>
  <c r="M27" i="14"/>
  <c r="K71" i="30"/>
  <c r="M166" i="42"/>
  <c r="M172" i="42"/>
  <c r="M223" i="42"/>
  <c r="B38" i="28"/>
  <c r="D41" i="6"/>
  <c r="C24" i="10"/>
  <c r="M24" i="10" s="1"/>
  <c r="C25" i="10"/>
  <c r="M25" i="10" s="1"/>
  <c r="M150" i="42"/>
  <c r="R35" i="35"/>
  <c r="V35" i="35" s="1"/>
  <c r="K80" i="30"/>
  <c r="K135" i="30"/>
  <c r="M214" i="42"/>
  <c r="M15" i="42"/>
  <c r="R38" i="35"/>
  <c r="V38" i="35" s="1"/>
  <c r="M153" i="42"/>
  <c r="M63" i="34"/>
  <c r="M162" i="42"/>
  <c r="K63" i="30"/>
  <c r="L31" i="32"/>
  <c r="K26" i="13"/>
  <c r="O26" i="13" s="1"/>
  <c r="C26" i="13"/>
  <c r="M122" i="42"/>
  <c r="C35" i="11"/>
  <c r="C29" i="10"/>
  <c r="M29" i="10" s="1"/>
  <c r="M140" i="42"/>
  <c r="M242" i="42"/>
  <c r="K36" i="31"/>
  <c r="AB55" i="15"/>
  <c r="AB57" i="15" s="1"/>
  <c r="K30" i="30"/>
  <c r="C32" i="7"/>
  <c r="I32" i="7" s="1"/>
  <c r="C32" i="8"/>
  <c r="I32" i="8" s="1"/>
  <c r="K37" i="31"/>
  <c r="L35" i="32"/>
  <c r="M77" i="42"/>
  <c r="K107" i="30"/>
  <c r="M180" i="42"/>
  <c r="C29" i="8"/>
  <c r="I29" i="8" s="1"/>
  <c r="B46" i="27"/>
  <c r="AA14" i="27"/>
  <c r="K20" i="30"/>
  <c r="K144" i="30"/>
  <c r="K137" i="30"/>
  <c r="K79" i="30"/>
  <c r="M148" i="42"/>
  <c r="C30" i="13"/>
  <c r="M30" i="13" s="1"/>
  <c r="C33" i="14"/>
  <c r="K23" i="31"/>
  <c r="C20" i="13"/>
  <c r="M20" i="13" s="1"/>
  <c r="C27" i="14"/>
  <c r="C25" i="13"/>
  <c r="M25" i="13" s="1"/>
  <c r="C40" i="7"/>
  <c r="I40" i="7" s="1"/>
  <c r="K58" i="30"/>
  <c r="M108" i="42"/>
  <c r="M208" i="42"/>
  <c r="V21" i="35"/>
  <c r="K134" i="30"/>
  <c r="M179" i="42"/>
  <c r="K77" i="30"/>
  <c r="M202" i="42"/>
  <c r="O204" i="42"/>
  <c r="M133" i="42"/>
  <c r="C31" i="13"/>
  <c r="M31" i="13" s="1"/>
  <c r="K37" i="30"/>
  <c r="K147" i="30"/>
  <c r="M78" i="42"/>
  <c r="M86" i="42"/>
  <c r="M227" i="42"/>
  <c r="M159" i="42"/>
  <c r="C22" i="13"/>
  <c r="M22" i="13" s="1"/>
  <c r="K66" i="30"/>
  <c r="R28" i="35"/>
  <c r="V28" i="35" s="1"/>
  <c r="K35" i="30"/>
  <c r="M221" i="42"/>
  <c r="N35" i="11"/>
  <c r="C33" i="8"/>
  <c r="I33" i="8" s="1"/>
  <c r="C33" i="10"/>
  <c r="M33" i="10" s="1"/>
  <c r="M215" i="42"/>
  <c r="K68" i="30"/>
  <c r="M142" i="42"/>
  <c r="M107" i="42"/>
  <c r="M113" i="42"/>
  <c r="K145" i="30"/>
  <c r="M118" i="42"/>
  <c r="M234" i="42"/>
  <c r="K73" i="30"/>
  <c r="K81" i="30"/>
  <c r="L40" i="32"/>
  <c r="AD78" i="22"/>
  <c r="AG12" i="22"/>
  <c r="AI12" i="22" s="1"/>
  <c r="AA57" i="3"/>
  <c r="AE16" i="17"/>
  <c r="M171" i="42"/>
  <c r="K99" i="30"/>
  <c r="AI103" i="23"/>
  <c r="AG82" i="25"/>
  <c r="M254" i="42"/>
  <c r="M70" i="42"/>
  <c r="M115" i="42"/>
  <c r="P41" i="6"/>
  <c r="P42" i="6" s="1"/>
  <c r="AD38" i="29"/>
  <c r="M176" i="42"/>
  <c r="K72" i="30"/>
  <c r="AE51" i="26"/>
  <c r="P44" i="5"/>
  <c r="P45" i="5" s="1"/>
  <c r="M121" i="42"/>
  <c r="M173" i="42"/>
  <c r="M235" i="42"/>
  <c r="M149" i="42"/>
  <c r="M85" i="42"/>
  <c r="C23" i="10"/>
  <c r="M23" i="10" s="1"/>
  <c r="K131" i="30"/>
  <c r="K16" i="30"/>
  <c r="M170" i="42"/>
  <c r="K51" i="30"/>
  <c r="K151" i="30"/>
  <c r="C21" i="8"/>
  <c r="I21" i="8" s="1"/>
  <c r="M106" i="42"/>
  <c r="C27" i="12"/>
  <c r="R17" i="35"/>
  <c r="V17" i="35" s="1"/>
  <c r="N26" i="11"/>
  <c r="K56" i="30"/>
  <c r="M95" i="42"/>
  <c r="R34" i="35"/>
  <c r="V34" i="35" s="1"/>
  <c r="M145" i="42"/>
  <c r="M91" i="42"/>
  <c r="K49" i="30"/>
  <c r="M237" i="42"/>
  <c r="M178" i="42"/>
  <c r="K42" i="30"/>
  <c r="K87" i="30"/>
  <c r="M219" i="42"/>
  <c r="E102" i="24"/>
  <c r="G39" i="14"/>
  <c r="K39" i="14" s="1"/>
  <c r="E15" i="23"/>
  <c r="AD102" i="24"/>
  <c r="M132" i="42"/>
  <c r="M249" i="42"/>
  <c r="M79" i="42"/>
  <c r="B38" i="29"/>
  <c r="AA13" i="29"/>
  <c r="AG13" i="29" s="1"/>
  <c r="AI13" i="29" s="1"/>
  <c r="M135" i="42"/>
  <c r="C20" i="10"/>
  <c r="M20" i="10" s="1"/>
  <c r="C26" i="11"/>
  <c r="K44" i="30"/>
  <c r="K57" i="30"/>
  <c r="M80" i="42"/>
  <c r="M119" i="42"/>
  <c r="V24" i="35"/>
  <c r="C33" i="12"/>
  <c r="K19" i="30"/>
  <c r="K22" i="31"/>
  <c r="M250" i="42"/>
  <c r="N34" i="6"/>
  <c r="N39" i="6" s="1"/>
  <c r="M110" i="42"/>
  <c r="M96" i="42"/>
  <c r="M218" i="42"/>
  <c r="K78" i="30"/>
  <c r="K122" i="30"/>
  <c r="M164" i="42"/>
  <c r="M99" i="42"/>
  <c r="M45" i="34"/>
  <c r="M163" i="42"/>
  <c r="K25" i="31"/>
  <c r="M97" i="42"/>
  <c r="M239" i="42"/>
  <c r="K38" i="30"/>
  <c r="C20" i="8"/>
  <c r="I20" i="8" s="1"/>
  <c r="K125" i="30"/>
  <c r="K24" i="31"/>
  <c r="M155" i="42"/>
  <c r="M62" i="42"/>
  <c r="K126" i="30"/>
  <c r="L41" i="32"/>
  <c r="M93" i="42"/>
  <c r="M244" i="42"/>
  <c r="M125" i="42"/>
  <c r="L33" i="32"/>
  <c r="M233" i="42"/>
  <c r="M240" i="42"/>
  <c r="T22" i="11"/>
  <c r="C31" i="8"/>
  <c r="I31" i="8" s="1"/>
  <c r="G113" i="30"/>
  <c r="K70" i="30"/>
  <c r="M89" i="42"/>
  <c r="O102" i="42" s="1"/>
  <c r="R31" i="35"/>
  <c r="V31" i="35" s="1"/>
  <c r="K41" i="31"/>
  <c r="O209" i="42"/>
  <c r="M207" i="42"/>
  <c r="L23" i="32"/>
  <c r="K140" i="30"/>
  <c r="M141" i="42"/>
  <c r="I91" i="30"/>
  <c r="K28" i="30"/>
  <c r="K143" i="30"/>
  <c r="K119" i="30"/>
  <c r="K83" i="30"/>
  <c r="C21" i="10"/>
  <c r="M21" i="10" s="1"/>
  <c r="M247" i="42"/>
  <c r="C30" i="8"/>
  <c r="I30" i="8" s="1"/>
  <c r="K127" i="30"/>
  <c r="M33" i="14"/>
  <c r="M251" i="42"/>
  <c r="L22" i="32"/>
  <c r="M246" i="42"/>
  <c r="K75" i="30"/>
  <c r="M105" i="42"/>
  <c r="O186" i="42"/>
  <c r="K76" i="30"/>
  <c r="K35" i="31"/>
  <c r="M228" i="42"/>
  <c r="M243" i="42"/>
  <c r="AB51" i="2"/>
  <c r="AB55" i="2" s="1"/>
  <c r="K100" i="30"/>
  <c r="K48" i="30"/>
  <c r="M82" i="42"/>
  <c r="M168" i="42"/>
  <c r="K142" i="30"/>
  <c r="K124" i="30"/>
  <c r="K26" i="31"/>
  <c r="M151" i="42"/>
  <c r="R57" i="2" l="1"/>
  <c r="X57" i="2" s="1"/>
  <c r="AF15" i="23"/>
  <c r="AF103" i="23" s="1"/>
  <c r="AN103" i="23" s="1"/>
  <c r="M22" i="10"/>
  <c r="M26" i="10" s="1"/>
  <c r="C22" i="7"/>
  <c r="I22" i="7" s="1"/>
  <c r="H44" i="5"/>
  <c r="H45" i="5" s="1"/>
  <c r="AA46" i="27"/>
  <c r="AG46" i="27" s="1"/>
  <c r="AI46" i="27" s="1"/>
  <c r="S39" i="14"/>
  <c r="U39" i="14"/>
  <c r="U40" i="14" s="1"/>
  <c r="G40" i="14"/>
  <c r="I39" i="14"/>
  <c r="K27" i="13"/>
  <c r="K37" i="13" s="1"/>
  <c r="M26" i="13"/>
  <c r="M27" i="13" s="1"/>
  <c r="D13" i="28"/>
  <c r="D13" i="29"/>
  <c r="D14" i="27"/>
  <c r="E16" i="26"/>
  <c r="G14" i="25"/>
  <c r="G82" i="25" s="1"/>
  <c r="G14" i="24"/>
  <c r="G102" i="24" s="1"/>
  <c r="L25" i="32"/>
  <c r="K101" i="30"/>
  <c r="AA38" i="28"/>
  <c r="AG38" i="28" s="1"/>
  <c r="AI38" i="28" s="1"/>
  <c r="K113" i="30"/>
  <c r="G157" i="30"/>
  <c r="M209" i="42"/>
  <c r="M204" i="42"/>
  <c r="S33" i="14"/>
  <c r="AG78" i="22"/>
  <c r="AI78" i="22" s="1"/>
  <c r="K28" i="31"/>
  <c r="AJ14" i="24"/>
  <c r="AJ102" i="24" s="1"/>
  <c r="AL102" i="24" s="1"/>
  <c r="AA59" i="3"/>
  <c r="I35" i="11"/>
  <c r="C23" i="7"/>
  <c r="I23" i="7" s="1"/>
  <c r="C33" i="13"/>
  <c r="I33" i="12"/>
  <c r="AG13" i="28"/>
  <c r="AI13" i="28" s="1"/>
  <c r="M65" i="34"/>
  <c r="K24" i="30"/>
  <c r="I103" i="30"/>
  <c r="I157" i="30" s="1"/>
  <c r="K42" i="31"/>
  <c r="AG14" i="27"/>
  <c r="AI14" i="27" s="1"/>
  <c r="I27" i="12"/>
  <c r="C37" i="14"/>
  <c r="C40" i="14" s="1"/>
  <c r="I45" i="31"/>
  <c r="N39" i="11"/>
  <c r="N42" i="11" s="1"/>
  <c r="C39" i="11"/>
  <c r="C42" i="11" s="1"/>
  <c r="AB51" i="26"/>
  <c r="AH51" i="26" s="1"/>
  <c r="AJ51" i="26" s="1"/>
  <c r="K40" i="14"/>
  <c r="J48" i="32"/>
  <c r="AJ14" i="25"/>
  <c r="AL14" i="25" s="1"/>
  <c r="G39" i="13"/>
  <c r="G49" i="7" s="1"/>
  <c r="E103" i="23"/>
  <c r="M33" i="13"/>
  <c r="I33" i="14"/>
  <c r="V43" i="35"/>
  <c r="I27" i="14"/>
  <c r="T35" i="11"/>
  <c r="O259" i="42"/>
  <c r="E157" i="30"/>
  <c r="Y51" i="26"/>
  <c r="G41" i="7"/>
  <c r="K41" i="7" s="1"/>
  <c r="K43" i="7" s="1"/>
  <c r="K47" i="7" s="1"/>
  <c r="T26" i="11"/>
  <c r="I26" i="11"/>
  <c r="M37" i="14"/>
  <c r="M40" i="14" s="1"/>
  <c r="C37" i="12"/>
  <c r="C40" i="12" s="1"/>
  <c r="AL82" i="25"/>
  <c r="R43" i="35"/>
  <c r="L45" i="32"/>
  <c r="K155" i="30"/>
  <c r="H41" i="6"/>
  <c r="H42" i="6" s="1"/>
  <c r="AA38" i="29"/>
  <c r="AG38" i="29" s="1"/>
  <c r="AI38" i="29" s="1"/>
  <c r="X46" i="27"/>
  <c r="AH16" i="26"/>
  <c r="AJ16" i="26" s="1"/>
  <c r="S27" i="14"/>
  <c r="O27" i="13"/>
  <c r="O37" i="13" s="1"/>
  <c r="AD57" i="2"/>
  <c r="AD59" i="2" s="1"/>
  <c r="AE16" i="16"/>
  <c r="AE148" i="16" s="1"/>
  <c r="C16" i="16"/>
  <c r="AB16" i="16" s="1"/>
  <c r="I26" i="8"/>
  <c r="K91" i="30"/>
  <c r="M256" i="42"/>
  <c r="M35" i="10"/>
  <c r="I34" i="8"/>
  <c r="C27" i="13"/>
  <c r="C21" i="7"/>
  <c r="I21" i="7" s="1"/>
  <c r="C30" i="7"/>
  <c r="I30" i="7" s="1"/>
  <c r="C34" i="8"/>
  <c r="C43" i="9"/>
  <c r="C31" i="9"/>
  <c r="C29" i="7"/>
  <c r="I29" i="7" s="1"/>
  <c r="C33" i="7"/>
  <c r="I33" i="7" s="1"/>
  <c r="M186" i="42"/>
  <c r="M102" i="42"/>
  <c r="C26" i="10"/>
  <c r="C25" i="7"/>
  <c r="I25" i="7" s="1"/>
  <c r="C35" i="10"/>
  <c r="C24" i="7"/>
  <c r="I24" i="7" s="1"/>
  <c r="C31" i="7"/>
  <c r="I31" i="7" s="1"/>
  <c r="C26" i="8"/>
  <c r="C20" i="7"/>
  <c r="I20" i="7" s="1"/>
  <c r="AD57" i="3"/>
  <c r="AD59" i="3" s="1"/>
  <c r="I43" i="9"/>
  <c r="C42" i="7"/>
  <c r="I42" i="7" s="1"/>
  <c r="C41" i="8"/>
  <c r="I41" i="8" s="1"/>
  <c r="C41" i="7"/>
  <c r="I31" i="9"/>
  <c r="C40" i="8"/>
  <c r="I40" i="8" s="1"/>
  <c r="AE147" i="17"/>
  <c r="AH16" i="17"/>
  <c r="AJ16" i="17" s="1"/>
  <c r="Q40" i="14"/>
  <c r="D42" i="6"/>
  <c r="L44" i="5" l="1"/>
  <c r="L45" i="5" s="1"/>
  <c r="I49" i="7"/>
  <c r="K49" i="7"/>
  <c r="AB59" i="2"/>
  <c r="I14" i="25"/>
  <c r="I82" i="25" s="1"/>
  <c r="I14" i="24"/>
  <c r="I102" i="24" s="1"/>
  <c r="I41" i="7"/>
  <c r="I43" i="7" s="1"/>
  <c r="E51" i="26"/>
  <c r="D46" i="27"/>
  <c r="D38" i="29"/>
  <c r="D38" i="28"/>
  <c r="G15" i="23"/>
  <c r="K103" i="30"/>
  <c r="K157" i="30" s="1"/>
  <c r="S37" i="14"/>
  <c r="S40" i="14" s="1"/>
  <c r="AL14" i="24"/>
  <c r="AF59" i="3"/>
  <c r="I39" i="11"/>
  <c r="I42" i="11" s="1"/>
  <c r="C37" i="13"/>
  <c r="C40" i="13" s="1"/>
  <c r="K45" i="31"/>
  <c r="AJ82" i="25"/>
  <c r="I37" i="12"/>
  <c r="I40" i="12" s="1"/>
  <c r="AL15" i="23"/>
  <c r="AN15" i="23" s="1"/>
  <c r="G40" i="13"/>
  <c r="K39" i="13"/>
  <c r="L48"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8" i="16"/>
  <c r="M259" i="42"/>
  <c r="I34" i="7"/>
  <c r="M39" i="10"/>
  <c r="M42" i="10" s="1"/>
  <c r="I26" i="7"/>
  <c r="C34" i="7"/>
  <c r="AF57" i="3"/>
  <c r="C39" i="10"/>
  <c r="C42" i="10" s="1"/>
  <c r="C26" i="7"/>
  <c r="C43" i="7"/>
  <c r="C47" i="7" l="1"/>
  <c r="C50" i="7" s="1"/>
  <c r="S44" i="5"/>
  <c r="U44" i="5" s="1"/>
  <c r="K50" i="7"/>
  <c r="K40" i="13"/>
  <c r="O39" i="13"/>
  <c r="O40" i="13" s="1"/>
  <c r="I47" i="7"/>
  <c r="I50" i="7" s="1"/>
  <c r="K14" i="25"/>
  <c r="K82" i="25" s="1"/>
  <c r="K14" i="24"/>
  <c r="K102" i="24" s="1"/>
  <c r="F13" i="29"/>
  <c r="F13" i="28"/>
  <c r="F14" i="27"/>
  <c r="G16" i="26"/>
  <c r="E16" i="16"/>
  <c r="E148" i="16" s="1"/>
  <c r="G103" i="23"/>
  <c r="AL103" i="23"/>
  <c r="M40" i="13"/>
  <c r="L42" i="6"/>
  <c r="G50" i="7"/>
  <c r="I37" i="7"/>
  <c r="C37" i="7"/>
  <c r="U41" i="6"/>
  <c r="S42" i="6"/>
  <c r="U42" i="6" s="1"/>
  <c r="V22" i="15"/>
  <c r="V25" i="15" s="1"/>
  <c r="V57" i="15" s="1"/>
  <c r="F37" i="19"/>
  <c r="F85" i="19" s="1"/>
  <c r="F111" i="19" s="1"/>
  <c r="F121" i="19" s="1"/>
  <c r="F123" i="19" s="1"/>
  <c r="H13" i="19" s="1"/>
  <c r="AD17" i="19"/>
  <c r="AD37" i="19" s="1"/>
  <c r="AD85" i="19" s="1"/>
  <c r="AD111" i="19" s="1"/>
  <c r="AD121" i="19" s="1"/>
  <c r="S45" i="5" l="1"/>
  <c r="U45" i="5" s="1"/>
  <c r="M14" i="25"/>
  <c r="M82" i="25" s="1"/>
  <c r="F38" i="29"/>
  <c r="F38" i="28"/>
  <c r="F46" i="27"/>
  <c r="G51" i="26"/>
  <c r="I15" i="23"/>
  <c r="G16" i="16" s="1"/>
  <c r="H123" i="19"/>
  <c r="J13" i="19" s="1"/>
  <c r="AJ121" i="19"/>
  <c r="AL121" i="19" s="1"/>
  <c r="AD123" i="19"/>
  <c r="AJ123" i="19" s="1"/>
  <c r="AL123" i="19" s="1"/>
  <c r="AJ17" i="19"/>
  <c r="J14" i="2"/>
  <c r="H25" i="15"/>
  <c r="H57" i="15" s="1"/>
  <c r="J22" i="15"/>
  <c r="O14" i="25" l="1"/>
  <c r="O82" i="25" s="1"/>
  <c r="AJ37" i="19"/>
  <c r="AL37" i="19" s="1"/>
  <c r="AL17" i="19"/>
  <c r="H13" i="29"/>
  <c r="H13" i="28"/>
  <c r="H14" i="27"/>
  <c r="I16" i="26"/>
  <c r="J123" i="19"/>
  <c r="L13" i="19" s="1"/>
  <c r="G148" i="16"/>
  <c r="I103" i="23"/>
  <c r="X22" i="15"/>
  <c r="J25" i="15"/>
  <c r="J57" i="15" s="1"/>
  <c r="X14" i="2"/>
  <c r="J20" i="2"/>
  <c r="J45" i="2" s="1"/>
  <c r="J55" i="2" s="1"/>
  <c r="J59" i="2" s="1"/>
  <c r="Q14" i="25" l="1"/>
  <c r="Q82" i="25" s="1"/>
  <c r="AJ85" i="19"/>
  <c r="AL85" i="19" s="1"/>
  <c r="L123" i="19"/>
  <c r="N13" i="19" s="1"/>
  <c r="H38" i="28"/>
  <c r="H38" i="29"/>
  <c r="I51" i="26"/>
  <c r="H46" i="27"/>
  <c r="K15" i="23"/>
  <c r="I16" i="16" s="1"/>
  <c r="I148" i="16" s="1"/>
  <c r="AG14" i="2"/>
  <c r="AG20" i="2" s="1"/>
  <c r="AI14" i="2"/>
  <c r="X20" i="2"/>
  <c r="X25" i="15"/>
  <c r="AH22" i="15"/>
  <c r="AJ22" i="15" s="1"/>
  <c r="S14" i="25" l="1"/>
  <c r="S82" i="25" s="1"/>
  <c r="AJ111" i="19"/>
  <c r="AL111" i="19" s="1"/>
  <c r="N123" i="19"/>
  <c r="P13" i="19" s="1"/>
  <c r="J13" i="29"/>
  <c r="J13" i="28"/>
  <c r="J14" i="27"/>
  <c r="K16" i="26"/>
  <c r="K103" i="23"/>
  <c r="X57" i="15"/>
  <c r="AH57" i="15" s="1"/>
  <c r="AJ57" i="15" s="1"/>
  <c r="AH25" i="15"/>
  <c r="AJ25" i="15" s="1"/>
  <c r="AI20" i="2"/>
  <c r="X45" i="2"/>
  <c r="U14" i="25" l="1"/>
  <c r="U82" i="25" s="1"/>
  <c r="P123" i="19"/>
  <c r="R13" i="19" s="1"/>
  <c r="K51" i="26"/>
  <c r="J46" i="27"/>
  <c r="J38" i="28"/>
  <c r="J38" i="29"/>
  <c r="M15" i="23"/>
  <c r="AG45" i="2"/>
  <c r="AG55" i="2" s="1"/>
  <c r="AG59" i="2" s="1"/>
  <c r="AI45" i="2"/>
  <c r="X55" i="2"/>
  <c r="W14" i="25" l="1"/>
  <c r="W82" i="25" s="1"/>
  <c r="Y82" i="25" s="1"/>
  <c r="AA82" i="25" s="1"/>
  <c r="R123" i="19"/>
  <c r="T13" i="19" s="1"/>
  <c r="L13" i="29"/>
  <c r="L13" i="28"/>
  <c r="L14" i="27"/>
  <c r="M16" i="26"/>
  <c r="M103" i="23"/>
  <c r="K16" i="16"/>
  <c r="AI55" i="2"/>
  <c r="X59" i="2"/>
  <c r="AI59" i="2" s="1"/>
  <c r="N42" i="6"/>
  <c r="Y102" i="24"/>
  <c r="AA102" i="24"/>
  <c r="M14" i="24"/>
  <c r="M102" i="24" s="1"/>
  <c r="O14" i="24" s="1"/>
  <c r="O102" i="24" s="1"/>
  <c r="Q14" i="24" s="1"/>
  <c r="Q102" i="24" s="1"/>
  <c r="S14" i="24" s="1"/>
  <c r="S102" i="24" s="1"/>
  <c r="U14" i="24" s="1"/>
  <c r="U102" i="24" s="1"/>
  <c r="W14" i="24" s="1"/>
  <c r="W102" i="24" s="1"/>
  <c r="T123" i="19" l="1"/>
  <c r="V13" i="19" s="1"/>
  <c r="H57" i="2" s="1"/>
  <c r="H59" i="2" s="1"/>
  <c r="M51" i="26"/>
  <c r="L46" i="27"/>
  <c r="L38" i="28"/>
  <c r="L38" i="29"/>
  <c r="O15" i="23"/>
  <c r="W148" i="16"/>
  <c r="Y148" i="16"/>
  <c r="J62" i="22"/>
  <c r="J65" i="22" s="1"/>
  <c r="J75" i="22" s="1"/>
  <c r="J78" i="22" s="1"/>
  <c r="L12" i="22" s="1"/>
  <c r="V37" i="2"/>
  <c r="K126" i="17"/>
  <c r="K126" i="16"/>
  <c r="K129" i="16"/>
  <c r="L41" i="3"/>
  <c r="R41" i="3" s="1"/>
  <c r="K129" i="17"/>
  <c r="M126" i="17"/>
  <c r="M129" i="17"/>
  <c r="V123" i="19" l="1"/>
  <c r="N13" i="29"/>
  <c r="N13" i="28"/>
  <c r="N14" i="27"/>
  <c r="O16" i="26"/>
  <c r="AB129" i="17"/>
  <c r="AH129" i="17" s="1"/>
  <c r="AJ129" i="17" s="1"/>
  <c r="O103" i="23"/>
  <c r="Q15" i="23" s="1"/>
  <c r="K132" i="17"/>
  <c r="K135" i="17" s="1"/>
  <c r="K145" i="17" s="1"/>
  <c r="K147" i="17" s="1"/>
  <c r="M16" i="17" s="1"/>
  <c r="V40" i="2"/>
  <c r="V42" i="2" s="1"/>
  <c r="V45" i="2" s="1"/>
  <c r="V55" i="2" s="1"/>
  <c r="M126" i="16"/>
  <c r="AB126" i="16" s="1"/>
  <c r="AH126" i="16" s="1"/>
  <c r="AJ126" i="16" s="1"/>
  <c r="L38" i="3"/>
  <c r="L43" i="3" s="1"/>
  <c r="L46" i="3" s="1"/>
  <c r="L55" i="3" s="1"/>
  <c r="M132" i="17"/>
  <c r="M135" i="17" s="1"/>
  <c r="M145" i="17" s="1"/>
  <c r="AB126" i="17"/>
  <c r="M16" i="16"/>
  <c r="M129" i="16"/>
  <c r="AB129" i="16" s="1"/>
  <c r="AH129" i="16" s="1"/>
  <c r="AJ129" i="16" s="1"/>
  <c r="L62" i="22"/>
  <c r="L65" i="22" s="1"/>
  <c r="L75" i="22" s="1"/>
  <c r="L78" i="22" s="1"/>
  <c r="N12" i="22" s="1"/>
  <c r="L42" i="2"/>
  <c r="L45" i="2" s="1"/>
  <c r="L55" i="2" s="1"/>
  <c r="K132" i="16"/>
  <c r="K135" i="16" s="1"/>
  <c r="K146" i="16" s="1"/>
  <c r="K148" i="16" s="1"/>
  <c r="O16" i="16" l="1"/>
  <c r="O148" i="16" s="1"/>
  <c r="O51" i="26"/>
  <c r="N46" i="27"/>
  <c r="N38" i="28"/>
  <c r="N38" i="29"/>
  <c r="N78" i="22"/>
  <c r="P12" i="22" s="1"/>
  <c r="Q103" i="23"/>
  <c r="M147" i="17"/>
  <c r="R38" i="3"/>
  <c r="R43" i="3" s="1"/>
  <c r="R46" i="3" s="1"/>
  <c r="R55" i="3" s="1"/>
  <c r="AB132" i="17"/>
  <c r="AB135" i="17" s="1"/>
  <c r="AH126" i="17"/>
  <c r="M132" i="16"/>
  <c r="M135" i="16" s="1"/>
  <c r="M146" i="16" s="1"/>
  <c r="M148" i="16" s="1"/>
  <c r="AB132" i="16"/>
  <c r="P13" i="29" l="1"/>
  <c r="P13" i="28"/>
  <c r="P14" i="27"/>
  <c r="Q16" i="26"/>
  <c r="S15" i="23"/>
  <c r="P78" i="22"/>
  <c r="R12" i="22" s="1"/>
  <c r="O16" i="17"/>
  <c r="O147" i="17" s="1"/>
  <c r="Q16" i="17" s="1"/>
  <c r="Q147" i="17" s="1"/>
  <c r="S16" i="17" s="1"/>
  <c r="S147" i="17" s="1"/>
  <c r="U16" i="17" s="1"/>
  <c r="U147" i="17" s="1"/>
  <c r="AH132" i="16"/>
  <c r="AJ132" i="16" s="1"/>
  <c r="AB135" i="16"/>
  <c r="AH132" i="17"/>
  <c r="AJ132" i="17" s="1"/>
  <c r="AJ126" i="17"/>
  <c r="AH135" i="17"/>
  <c r="AJ135" i="17" s="1"/>
  <c r="AB145" i="17"/>
  <c r="R78" i="22" l="1"/>
  <c r="T12" i="22" s="1"/>
  <c r="Q16" i="16"/>
  <c r="Q148" i="16" s="1"/>
  <c r="P38" i="29"/>
  <c r="P38" i="28"/>
  <c r="P46" i="27"/>
  <c r="Q51" i="26"/>
  <c r="S103" i="23"/>
  <c r="AH135" i="16"/>
  <c r="AJ135" i="16" s="1"/>
  <c r="AB146" i="16"/>
  <c r="AB147" i="17"/>
  <c r="AH147" i="17" s="1"/>
  <c r="AJ147" i="17" s="1"/>
  <c r="AH145" i="17"/>
  <c r="AJ145" i="17" s="1"/>
  <c r="L57" i="2" l="1"/>
  <c r="L57" i="3" s="1"/>
  <c r="L59" i="3" s="1"/>
  <c r="T78" i="22"/>
  <c r="R13" i="29"/>
  <c r="R13" i="28"/>
  <c r="R14" i="27"/>
  <c r="S16" i="26"/>
  <c r="Y103" i="23"/>
  <c r="AA103" i="23" s="1"/>
  <c r="U15" i="23"/>
  <c r="AH146" i="16"/>
  <c r="AJ146" i="16" s="1"/>
  <c r="AB148" i="16"/>
  <c r="AH148" i="16" s="1"/>
  <c r="AJ148" i="16" s="1"/>
  <c r="R57" i="3" l="1"/>
  <c r="R59" i="3" s="1"/>
  <c r="L59" i="2"/>
  <c r="R38" i="28"/>
  <c r="S51" i="26"/>
  <c r="R46" i="27"/>
  <c r="R38" i="29"/>
  <c r="U103" i="23"/>
  <c r="W15" i="23" s="1"/>
  <c r="P57" i="2" s="1"/>
  <c r="P59" i="2" s="1"/>
  <c r="S16" i="16"/>
  <c r="S148" i="16" s="1"/>
  <c r="V57" i="2" l="1"/>
  <c r="V59" i="2" s="1"/>
  <c r="T13" i="29"/>
  <c r="T14" i="27"/>
  <c r="T13" i="28"/>
  <c r="U16" i="26"/>
  <c r="W103" i="23"/>
  <c r="U16" i="16"/>
  <c r="U148" i="16" s="1"/>
  <c r="T38" i="28" l="1"/>
  <c r="V38" i="28" s="1"/>
  <c r="X38" i="28" s="1"/>
  <c r="B41" i="6"/>
  <c r="T46" i="27"/>
  <c r="V46" i="27" s="1"/>
  <c r="F44" i="5"/>
  <c r="F45" i="5" s="1"/>
  <c r="U51" i="26"/>
  <c r="W51" i="26" s="1"/>
  <c r="B44" i="5"/>
  <c r="T38" i="29"/>
  <c r="V38" i="29" s="1"/>
  <c r="X38" i="29" s="1"/>
  <c r="F41" i="6"/>
  <c r="F42" i="6" s="1"/>
  <c r="B45" i="5" l="1"/>
  <c r="J44" i="5"/>
  <c r="J45" i="5" s="1"/>
  <c r="B42" i="6"/>
  <c r="J41" i="6"/>
  <c r="J42" i="6" s="1"/>
</calcChain>
</file>

<file path=xl/sharedStrings.xml><?xml version="1.0" encoding="utf-8"?>
<sst xmlns="http://schemas.openxmlformats.org/spreadsheetml/2006/main" count="4227" uniqueCount="1603">
  <si>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</si>
  <si>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</si>
  <si>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</si>
  <si>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</si>
  <si>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</si>
  <si>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</si>
  <si>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</si>
  <si>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</si>
  <si>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</si>
  <si>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</si>
  <si>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</si>
  <si>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</si>
  <si>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</si>
  <si>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</si>
  <si>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</si>
  <si>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</si>
  <si>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</si>
  <si>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</si>
  <si>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</si>
  <si>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</si>
  <si>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</si>
  <si>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</si>
  <si>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</si>
  <si>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</si>
  <si>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</si>
  <si>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</si>
  <si>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</si>
  <si>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</si>
  <si>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</si>
  <si>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</si>
  <si>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</si>
  <si>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</si>
  <si>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</si>
  <si>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</si>
  <si>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</si>
  <si>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</si>
  <si>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</si>
  <si>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</si>
  <si>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</si>
  <si>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</si>
  <si>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</si>
  <si>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</si>
  <si>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</si>
  <si>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</si>
  <si>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</si>
  <si>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</si>
  <si>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</si>
  <si>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</si>
  <si>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</si>
  <si>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</si>
  <si>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</si>
  <si>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</si>
  <si>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</si>
  <si>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</si>
  <si>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</si>
  <si>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</si>
  <si>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</si>
  <si>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</si>
  <si>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</si>
  <si>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</si>
  <si>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</si>
  <si>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</si>
  <si>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</si>
  <si>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</si>
  <si>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</si>
  <si>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</si>
  <si>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</si>
  <si>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</si>
  <si>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</si>
  <si>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</si>
  <si>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</si>
  <si>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</si>
  <si>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</si>
  <si>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</si>
  <si>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</si>
  <si>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</si>
  <si>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</si>
  <si>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</si>
  <si>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</si>
  <si>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</si>
  <si>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</si>
  <si>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</si>
  <si>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</si>
  <si>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</si>
  <si>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</si>
  <si>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</si>
  <si>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</si>
  <si>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</si>
  <si>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</si>
  <si>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</si>
  <si>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</si>
  <si>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</si>
  <si>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</si>
  <si>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</si>
  <si>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</si>
  <si>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</si>
  <si>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</si>
  <si>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</si>
  <si>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</si>
  <si>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</si>
  <si>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</si>
  <si>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</si>
  <si>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</si>
  <si>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</si>
  <si>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</si>
  <si>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</si>
  <si>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</si>
  <si>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</si>
  <si>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</si>
  <si>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</si>
  <si>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</si>
  <si>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</si>
  <si>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</si>
  <si>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</si>
  <si>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</si>
  <si>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</si>
  <si>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</si>
  <si>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</si>
  <si>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</si>
  <si>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</si>
  <si>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</si>
  <si>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</si>
  <si>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</si>
  <si>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</si>
  <si>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</si>
  <si>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</si>
  <si>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</si>
  <si>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</si>
  <si>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</si>
  <si>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</si>
  <si>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</si>
  <si>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</si>
  <si>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</si>
  <si>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</si>
  <si>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</si>
  <si>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</si>
  <si>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</si>
  <si>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</si>
  <si>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</si>
  <si>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</si>
  <si>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</si>
  <si>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</si>
  <si>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</si>
  <si>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</si>
  <si>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</si>
  <si>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</si>
  <si>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</si>
  <si>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</si>
  <si>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</si>
  <si>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</si>
  <si>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</si>
  <si>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</si>
  <si>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</si>
  <si>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</si>
  <si>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</si>
  <si>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</si>
  <si>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</si>
  <si>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</si>
  <si>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</si>
  <si>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</si>
  <si>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</si>
  <si>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</si>
  <si>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</si>
  <si>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</si>
  <si>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</si>
  <si>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</si>
  <si>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</si>
  <si>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</si>
  <si>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</si>
  <si>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</si>
  <si>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</si>
  <si>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</si>
  <si>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</si>
  <si>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</si>
  <si>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</si>
  <si>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</si>
  <si>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</si>
  <si>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</si>
  <si>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</si>
  <si>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</si>
  <si>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</si>
  <si>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</si>
  <si>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</si>
  <si>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</si>
  <si>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</si>
  <si>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</si>
  <si>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</si>
  <si>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</si>
  <si>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</si>
  <si>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</si>
  <si>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</si>
  <si>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</si>
  <si>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</si>
  <si>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</si>
  <si>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</si>
  <si>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</si>
  <si>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</si>
  <si>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</si>
  <si>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</si>
  <si>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</si>
  <si>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</si>
  <si>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</si>
  <si>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</si>
  <si>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</si>
  <si>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</si>
  <si>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</si>
  <si>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</si>
  <si>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</si>
  <si>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</si>
  <si>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</si>
  <si>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</si>
  <si>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</si>
  <si>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</si>
  <si>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</si>
  <si>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</si>
  <si>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</si>
  <si>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</si>
  <si>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</si>
  <si>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</si>
  <si>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</si>
  <si>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</si>
  <si>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</si>
  <si>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</si>
  <si>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</si>
  <si>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</si>
  <si>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</si>
  <si>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</si>
  <si>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</si>
  <si>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</si>
  <si>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</si>
  <si>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</si>
  <si>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</si>
  <si>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</si>
  <si>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</si>
  <si>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</si>
  <si>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</si>
  <si>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</si>
  <si>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</si>
  <si>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</si>
  <si>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</si>
  <si>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</si>
  <si>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</si>
  <si>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</si>
  <si>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</si>
  <si>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</si>
  <si>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</si>
  <si>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</si>
  <si>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</si>
  <si>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</si>
  <si>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</si>
  <si>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</si>
  <si>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</si>
  <si>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</si>
  <si>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</si>
  <si>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</si>
  <si>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</si>
  <si>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</si>
  <si>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</si>
  <si>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</si>
  <si>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</si>
  <si>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</si>
  <si>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</si>
  <si>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</si>
  <si>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</si>
  <si>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</si>
  <si>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</si>
  <si>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</si>
  <si>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</si>
  <si>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</si>
  <si>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</si>
  <si>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</si>
  <si>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</si>
  <si>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</si>
  <si>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</si>
  <si>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</si>
  <si>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</si>
  <si>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</si>
  <si>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</si>
  <si>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</si>
  <si>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</si>
  <si>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</si>
  <si>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</si>
  <si>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</si>
  <si>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</si>
  <si>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</si>
  <si>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</si>
  <si>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</si>
  <si>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</si>
  <si>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</si>
  <si>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</si>
  <si>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</si>
  <si>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</si>
  <si>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</si>
  <si>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</si>
  <si>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</si>
  <si>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</si>
  <si>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</si>
  <si>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</si>
  <si>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</si>
  <si>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</si>
  <si>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</si>
  <si>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</si>
  <si>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</si>
  <si>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</si>
  <si>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</si>
  <si>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</si>
  <si>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</si>
  <si>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</si>
  <si>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</si>
  <si>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</si>
  <si>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</si>
  <si>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</si>
  <si>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</si>
  <si>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</si>
  <si>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</si>
  <si>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</si>
  <si>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</si>
  <si>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</si>
  <si>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</si>
  <si>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</si>
  <si>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</si>
  <si>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</si>
  <si>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</si>
  <si>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</si>
  <si>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</si>
  <si>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</si>
  <si>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</si>
  <si>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</si>
  <si>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</si>
  <si>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</si>
  <si>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</si>
  <si>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</si>
  <si>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</si>
  <si>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</si>
  <si>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</si>
  <si>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</si>
  <si>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</si>
  <si>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</si>
  <si>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</si>
  <si>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</si>
  <si>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</si>
  <si>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</si>
  <si>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</si>
  <si>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</si>
  <si>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</si>
  <si>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</si>
  <si>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</si>
  <si>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</si>
  <si>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</si>
  <si>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</si>
  <si>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</si>
  <si>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</si>
  <si>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</si>
  <si>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</si>
  <si>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</si>
  <si>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</si>
  <si>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</si>
  <si>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</si>
  <si>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</si>
  <si>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</si>
  <si>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</si>
  <si>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</si>
  <si>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</si>
  <si>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</si>
  <si>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</si>
  <si>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</si>
  <si>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</si>
  <si>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</si>
  <si>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</si>
  <si>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</si>
  <si>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</si>
  <si>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</si>
  <si>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</si>
  <si>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</si>
  <si>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</si>
  <si>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</si>
  <si>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</si>
  <si>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</si>
  <si>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</si>
  <si>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</si>
  <si>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</si>
  <si>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</si>
  <si>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</si>
  <si>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</si>
  <si>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</si>
  <si>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</si>
  <si>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</si>
  <si>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</si>
  <si>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</si>
  <si>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</si>
  <si>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</si>
  <si>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</si>
  <si>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</si>
  <si>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</si>
  <si>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</si>
  <si>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</si>
  <si>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</si>
  <si>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</si>
  <si>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</si>
  <si>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</si>
  <si>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</si>
  <si>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</si>
  <si>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</si>
  <si>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</si>
  <si>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</si>
  <si>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</si>
  <si>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</si>
  <si>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</si>
  <si>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</si>
  <si>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</si>
  <si>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</si>
  <si>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</si>
  <si>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</si>
  <si>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</si>
  <si>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</si>
  <si>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</si>
  <si>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</si>
  <si>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</si>
  <si>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</si>
  <si>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</si>
  <si>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</si>
  <si>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</si>
  <si>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</si>
  <si>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</si>
  <si>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</si>
  <si>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</si>
  <si>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</si>
  <si>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</si>
  <si>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</si>
  <si>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</si>
  <si>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</si>
  <si>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</si>
  <si>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</si>
  <si>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</si>
  <si>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</si>
  <si>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</si>
  <si>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</si>
  <si>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</si>
  <si>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</si>
  <si>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</si>
  <si>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</si>
  <si>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</si>
  <si>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</si>
  <si>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</si>
  <si>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</si>
  <si>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</si>
  <si>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</si>
  <si>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</si>
  <si>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</si>
  <si>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</si>
  <si>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</si>
  <si>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</si>
  <si>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</si>
  <si>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</si>
  <si>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</si>
  <si>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</si>
  <si>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</si>
  <si>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</si>
  <si>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</si>
  <si>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</si>
  <si>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</si>
  <si>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</si>
  <si>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</si>
  <si>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</si>
  <si>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</si>
  <si>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</si>
  <si>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</si>
  <si>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</si>
  <si>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</si>
  <si>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</si>
  <si>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</si>
  <si>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</si>
  <si>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</si>
  <si>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</si>
  <si>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</si>
  <si>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</si>
  <si>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</si>
  <si>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</si>
  <si>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</si>
  <si>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</si>
  <si>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</si>
  <si>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</si>
  <si>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</si>
  <si>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</si>
  <si>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</si>
  <si>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</si>
  <si>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</si>
  <si>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</si>
  <si>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</si>
  <si>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</si>
  <si>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</si>
  <si>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</si>
  <si>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</si>
  <si>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</si>
  <si>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</si>
  <si>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</si>
  <si>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</si>
  <si>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</si>
  <si>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</si>
  <si>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</si>
  <si>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</si>
  <si>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</si>
  <si>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</si>
  <si>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</si>
  <si>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</si>
  <si>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</si>
  <si>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</si>
  <si>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</si>
  <si>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</si>
  <si>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</si>
  <si>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</si>
  <si>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</si>
  <si>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</si>
  <si>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</si>
  <si>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</si>
  <si>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</si>
  <si>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</si>
  <si>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</si>
  <si>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</si>
  <si>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</si>
  <si>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</si>
  <si>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</si>
  <si>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</si>
  <si>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</si>
  <si>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</si>
  <si>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</si>
  <si>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</si>
  <si>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</si>
  <si>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</si>
  <si>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</si>
  <si>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</si>
  <si>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</si>
  <si>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</si>
  <si>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</si>
  <si>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</si>
  <si>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</si>
  <si>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</si>
  <si>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</si>
  <si>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</si>
  <si>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</si>
  <si>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</si>
  <si>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</si>
  <si>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</si>
  <si>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</si>
  <si>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</si>
  <si>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</si>
  <si>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</si>
  <si>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</si>
  <si>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</si>
  <si>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</si>
  <si>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</si>
  <si>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</si>
  <si>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</si>
  <si>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</si>
  <si>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</si>
  <si>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</si>
  <si>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</si>
  <si>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</si>
  <si>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</si>
  <si>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</si>
  <si>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</si>
  <si>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</si>
  <si>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</si>
  <si>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</si>
  <si>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</si>
  <si>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</si>
  <si>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</si>
  <si>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</si>
  <si>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</si>
  <si>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</si>
  <si>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</si>
  <si>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</si>
  <si>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</si>
  <si>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</si>
  <si>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</si>
  <si>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</si>
  <si>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</si>
  <si>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</si>
  <si>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</si>
  <si>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</si>
  <si>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</si>
  <si>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</si>
  <si>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</si>
  <si>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</si>
  <si>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</si>
  <si>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</si>
  <si>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</si>
  <si>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</si>
  <si>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</si>
  <si>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</si>
  <si>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</si>
  <si>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</si>
  <si>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</si>
  <si>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</si>
  <si>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</si>
  <si>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</si>
  <si>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</si>
  <si>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</si>
  <si>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</si>
  <si>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</si>
  <si>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</si>
  <si>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</si>
  <si>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</si>
  <si>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</si>
  <si>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</si>
  <si>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</si>
  <si>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</si>
  <si>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</si>
  <si>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</si>
  <si>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</si>
  <si>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</si>
  <si>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</si>
  <si>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</si>
  <si>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</si>
  <si>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</si>
  <si>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</si>
  <si>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</si>
  <si>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</si>
  <si>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</si>
  <si>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</si>
  <si>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</si>
  <si>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</si>
  <si>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</si>
  <si>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</si>
  <si>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</si>
  <si>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</si>
  <si>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</si>
  <si>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</si>
  <si>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</si>
  <si>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</si>
  <si>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</si>
  <si>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</si>
  <si>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</si>
  <si>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</si>
  <si>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</si>
  <si>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</si>
  <si>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</si>
  <si>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</si>
  <si>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</si>
  <si>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</si>
  <si>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</si>
  <si>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</si>
  <si>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</si>
  <si>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</si>
  <si>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</si>
  <si>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</si>
  <si>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</si>
  <si>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</si>
  <si>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</si>
  <si>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</si>
  <si>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</si>
  <si>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</si>
  <si>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</si>
  <si>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</si>
  <si>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</si>
  <si>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</si>
  <si>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</si>
  <si>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</si>
  <si>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</si>
  <si>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</si>
  <si>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</si>
  <si>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</si>
  <si>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</si>
  <si>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</si>
  <si>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</si>
  <si>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</si>
  <si>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</si>
  <si>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</si>
  <si>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</si>
  <si>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</si>
  <si>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</si>
  <si>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</si>
  <si>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</si>
  <si>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</si>
  <si>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</si>
  <si>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</si>
  <si>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</si>
  <si>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</si>
  <si>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</si>
  <si>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</si>
  <si>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</si>
  <si>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</si>
  <si>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</si>
  <si>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</si>
  <si>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</si>
  <si>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</si>
  <si>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</si>
  <si>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</si>
  <si>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</si>
  <si>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</si>
  <si>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</si>
  <si>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</si>
  <si>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</si>
  <si>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</si>
  <si>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</si>
  <si>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</si>
  <si>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</si>
  <si>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</si>
  <si>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</si>
  <si>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</si>
  <si>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</si>
  <si>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</si>
  <si>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</si>
  <si>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</si>
  <si>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</si>
  <si>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</si>
  <si>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</si>
  <si>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</si>
  <si>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</si>
  <si>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</si>
  <si>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</si>
  <si>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</si>
  <si>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</si>
  <si>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</si>
  <si>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</si>
  <si>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</si>
  <si>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</si>
  <si>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</si>
  <si>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</si>
  <si>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</si>
  <si>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</si>
  <si>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</si>
  <si>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</si>
  <si>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</si>
  <si>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</si>
  <si>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</si>
  <si>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</si>
  <si>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</si>
  <si>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</si>
  <si>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</si>
  <si>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</si>
  <si>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</si>
  <si>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</si>
  <si>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</si>
  <si>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</si>
  <si>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</si>
  <si>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</si>
  <si>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</si>
  <si>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</si>
  <si>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</si>
  <si>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</si>
  <si>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</si>
  <si>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</si>
  <si>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</si>
  <si>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</si>
  <si>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</si>
  <si>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</si>
  <si>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</si>
  <si>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</si>
  <si>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</si>
  <si>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</si>
  <si>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</si>
  <si>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</si>
  <si>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</si>
  <si>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</si>
  <si>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</si>
  <si>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</si>
  <si>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</si>
  <si>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</si>
  <si>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</si>
  <si>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</si>
  <si>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</si>
  <si>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</si>
  <si>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</si>
  <si>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</si>
  <si>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</si>
  <si>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</si>
  <si>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</si>
  <si>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</si>
  <si>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</si>
  <si>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</si>
  <si>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</si>
  <si>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</si>
  <si>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</si>
  <si>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</si>
  <si>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</si>
  <si>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</si>
  <si>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</si>
  <si>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</si>
  <si>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</si>
  <si>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</si>
  <si>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</si>
  <si>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</si>
  <si>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</si>
  <si>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</si>
  <si>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</si>
  <si>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</si>
  <si>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</si>
  <si>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</si>
  <si>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</si>
  <si>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</si>
  <si>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</si>
  <si>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</si>
  <si>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</si>
  <si>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</si>
  <si>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</si>
  <si>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</si>
  <si>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</si>
  <si>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</si>
  <si>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</si>
  <si>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</si>
  <si>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</si>
  <si>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</si>
  <si>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</si>
  <si>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</si>
  <si>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</si>
  <si>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</si>
  <si>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</si>
  <si>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</si>
  <si>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</si>
  <si>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</si>
  <si>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</si>
  <si>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</si>
  <si>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</si>
  <si>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</si>
  <si>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</si>
  <si>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</si>
  <si>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</si>
  <si>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</si>
  <si>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</si>
  <si>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</si>
  <si>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</si>
  <si>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</si>
  <si>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</si>
  <si>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</si>
  <si>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</si>
  <si>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</si>
  <si>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</si>
  <si>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</si>
  <si>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</si>
  <si>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</si>
  <si>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</si>
  <si>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</si>
  <si>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</si>
  <si>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</si>
  <si>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</si>
  <si>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</si>
  <si>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</si>
  <si>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</si>
  <si>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</si>
  <si>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</si>
  <si>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</si>
  <si>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</si>
  <si>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</si>
  <si>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</si>
  <si>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</si>
  <si>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</si>
  <si>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</si>
  <si>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</si>
  <si>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</si>
  <si>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</si>
  <si>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</si>
  <si>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</si>
  <si>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</si>
  <si>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</si>
  <si>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</si>
  <si>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</si>
  <si>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</si>
  <si>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</si>
  <si>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</si>
  <si>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</si>
  <si>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</si>
  <si>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</si>
  <si>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</si>
  <si>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</si>
  <si>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</si>
  <si>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</si>
  <si>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</si>
  <si>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</si>
  <si>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</si>
  <si>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</si>
  <si>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</si>
  <si>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</si>
  <si>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</si>
  <si>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</si>
  <si>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</si>
  <si>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</si>
  <si>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</si>
  <si>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</si>
  <si>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</si>
  <si>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</si>
  <si>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</si>
  <si>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</si>
  <si>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</si>
  <si>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</si>
  <si>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</si>
  <si>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</si>
  <si>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</si>
  <si>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</si>
  <si>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</si>
  <si>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</si>
  <si>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</si>
  <si>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</si>
  <si>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</si>
  <si>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</si>
  <si>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</si>
  <si>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</si>
  <si>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</si>
  <si>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</si>
  <si>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</si>
  <si>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</si>
  <si>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</si>
  <si>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</si>
  <si>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</si>
  <si>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</si>
  <si>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</si>
  <si>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</si>
  <si>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</si>
  <si>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</si>
  <si>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</si>
  <si>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</si>
  <si>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</si>
  <si>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</si>
  <si>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</si>
  <si>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</si>
  <si>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</si>
  <si>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</si>
  <si>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</si>
  <si>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</si>
  <si>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</si>
  <si>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</si>
  <si>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</si>
  <si>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</si>
  <si>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</si>
  <si>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</si>
  <si>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</si>
  <si>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</si>
  <si>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</si>
  <si>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</si>
  <si>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</si>
  <si>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</si>
  <si>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</si>
  <si>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</si>
  <si>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</si>
  <si>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</si>
  <si>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</si>
  <si>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</si>
  <si>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</si>
  <si>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</si>
  <si>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</si>
  <si>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</si>
  <si>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</si>
  <si>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</si>
  <si>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</si>
  <si>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</si>
  <si>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</si>
  <si>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</si>
  <si>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</si>
  <si>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</si>
  <si>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</si>
  <si>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</si>
  <si>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</si>
  <si>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</si>
  <si>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</si>
  <si>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</si>
  <si>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</si>
  <si>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</si>
  <si>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</si>
  <si>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</si>
  <si>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</si>
  <si>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</si>
  <si>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</si>
  <si>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</si>
  <si>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</si>
  <si>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</si>
  <si>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</si>
  <si>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</si>
  <si>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</si>
  <si>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</si>
  <si>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</si>
  <si>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</si>
  <si>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</si>
  <si>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</si>
  <si>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</si>
  <si>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</si>
  <si>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</si>
  <si>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</si>
  <si>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</si>
  <si>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</si>
  <si>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</si>
  <si>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</si>
  <si>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</si>
  <si>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</si>
  <si>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</si>
  <si>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</si>
  <si>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</si>
  <si>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</si>
  <si>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</si>
  <si>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</si>
  <si>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</si>
  <si>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</si>
  <si>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</si>
  <si>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</si>
  <si>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</si>
  <si>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</si>
  <si>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</si>
  <si>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</si>
  <si>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</si>
  <si>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</si>
  <si>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</si>
  <si>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</si>
  <si>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</si>
  <si>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</si>
  <si>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</si>
  <si>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</si>
  <si>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</si>
  <si>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</si>
  <si>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</si>
  <si>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</si>
  <si>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</si>
  <si>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</si>
  <si>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</si>
  <si>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</si>
  <si>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</si>
  <si>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</si>
  <si>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</si>
  <si>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</si>
  <si>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</si>
  <si>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</si>
  <si>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</si>
  <si>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</si>
  <si>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</si>
  <si>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</si>
  <si>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</si>
  <si>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</si>
  <si>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</si>
  <si>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</si>
  <si>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</si>
  <si>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</si>
  <si>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</si>
  <si>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</si>
  <si>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</si>
  <si>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</si>
  <si>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</si>
  <si>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</si>
  <si>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</si>
  <si>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</si>
  <si>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</si>
  <si>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</si>
  <si>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</si>
  <si>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</si>
  <si>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</si>
  <si>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</si>
  <si>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</si>
  <si>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</si>
  <si>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</si>
  <si>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</si>
  <si>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</si>
  <si>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</si>
  <si>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</si>
  <si>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</si>
  <si>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</si>
  <si>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</si>
  <si>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</si>
  <si>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</si>
  <si>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</si>
  <si>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</si>
  <si>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</si>
  <si>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</si>
  <si>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</si>
  <si>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</si>
  <si>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</si>
  <si>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</si>
  <si>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</si>
  <si>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</si>
  <si>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</si>
  <si>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</si>
  <si>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</si>
  <si>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</si>
  <si>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</si>
  <si>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</si>
  <si>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</si>
  <si>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</si>
  <si>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</si>
  <si>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</si>
  <si>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</si>
  <si>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</si>
  <si>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</si>
  <si>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</si>
  <si>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</si>
  <si>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</si>
  <si>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</si>
  <si>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</si>
  <si>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</si>
  <si>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</si>
  <si>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</si>
  <si>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</si>
  <si>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</si>
  <si>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</si>
  <si>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</si>
  <si>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</si>
  <si>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</si>
  <si>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</si>
  <si>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</si>
  <si>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</si>
  <si>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</si>
  <si>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</si>
  <si>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</si>
  <si>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</si>
  <si>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</si>
  <si>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</si>
  <si>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</si>
  <si>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</si>
  <si>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</si>
  <si>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</si>
  <si>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</si>
  <si>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</si>
  <si>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</si>
  <si>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</si>
  <si>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</si>
  <si>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</si>
  <si>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</si>
  <si>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</si>
  <si>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</si>
  <si>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</si>
  <si>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</si>
  <si>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</si>
  <si>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</si>
  <si>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</si>
  <si>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</si>
  <si>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</si>
  <si>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</si>
  <si>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</si>
  <si>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</si>
  <si>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</si>
  <si>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</si>
  <si>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</si>
  <si>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</si>
  <si>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</si>
  <si>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</si>
  <si>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</si>
  <si>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</si>
  <si>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</si>
  <si>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</si>
  <si>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</si>
  <si>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</si>
  <si>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</si>
  <si>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</si>
  <si>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</si>
  <si>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</si>
  <si>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</si>
  <si>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</si>
  <si>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</si>
  <si>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</si>
  <si>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</si>
  <si>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</si>
  <si>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</si>
  <si>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</si>
  <si>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</si>
  <si>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</si>
  <si>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</si>
  <si>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</si>
  <si>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</si>
  <si>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</si>
  <si>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</si>
  <si>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</si>
  <si>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</si>
  <si>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</si>
  <si>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</si>
  <si>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</si>
  <si>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</si>
  <si>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</si>
  <si>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</si>
  <si>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</si>
  <si>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</si>
  <si>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</si>
  <si>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</si>
  <si>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</si>
  <si>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</si>
  <si>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</si>
  <si>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</si>
  <si>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</si>
  <si>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</si>
  <si>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</si>
  <si>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</si>
  <si>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</si>
  <si>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</si>
  <si>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</si>
  <si>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</si>
  <si>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</si>
  <si>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</si>
  <si>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</si>
  <si>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</si>
  <si>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</si>
  <si>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</si>
  <si>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</si>
  <si>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</si>
  <si>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</si>
  <si>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</si>
  <si>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</si>
  <si>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</si>
  <si>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</si>
  <si>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</si>
  <si>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</si>
  <si>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</si>
  <si>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</si>
  <si>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</si>
  <si>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</si>
  <si>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</si>
  <si>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</si>
  <si>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</si>
  <si>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</si>
  <si>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</si>
  <si>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</si>
  <si>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</si>
  <si>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</si>
  <si>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</si>
  <si>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</si>
  <si>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</si>
  <si>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</si>
  <si>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</si>
  <si>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</si>
  <si>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</si>
  <si>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</si>
  <si>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</si>
  <si>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</si>
  <si>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</si>
  <si>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</si>
  <si>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</si>
  <si>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</si>
  <si>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</si>
  <si>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</si>
  <si>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</si>
  <si>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</si>
  <si>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</si>
  <si>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</si>
  <si>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</si>
  <si>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</si>
  <si>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</si>
  <si>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</si>
  <si>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</si>
  <si>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</si>
  <si>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</si>
  <si>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</si>
  <si>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</si>
  <si>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</si>
  <si>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</si>
  <si>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</si>
  <si>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</si>
  <si>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</si>
  <si>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</si>
  <si>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</si>
  <si>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</si>
  <si>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</si>
  <si>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</si>
  <si>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</si>
  <si>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</si>
  <si>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</si>
  <si>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</si>
  <si>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</si>
  <si>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</si>
  <si>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</si>
  <si>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</si>
  <si>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</si>
  <si>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</si>
  <si>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</si>
  <si>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</si>
  <si>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</si>
  <si>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</si>
  <si>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</si>
  <si>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</si>
  <si>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</si>
  <si>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</si>
  <si>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</si>
  <si>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</si>
  <si>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</si>
  <si>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</si>
  <si>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</si>
  <si>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</si>
  <si>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</si>
  <si>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</si>
  <si>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</si>
  <si>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</si>
  <si>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</si>
  <si>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</si>
  <si>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</si>
  <si>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</si>
  <si>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</si>
  <si>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</si>
  <si>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</si>
  <si>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</si>
  <si>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</si>
  <si>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</si>
  <si>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</si>
  <si>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</si>
  <si>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</si>
  <si>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</si>
  <si>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</si>
  <si>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</si>
  <si>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</si>
  <si>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</si>
  <si>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</si>
  <si>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</si>
  <si>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</si>
  <si>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</si>
  <si>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</si>
  <si>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</si>
  <si>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</si>
  <si>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</si>
  <si>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</si>
  <si>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</si>
  <si>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</si>
  <si>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</si>
  <si>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</si>
  <si>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</si>
  <si>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</si>
  <si>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</si>
  <si>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</si>
  <si>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</si>
  <si>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</si>
  <si>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</si>
  <si>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</si>
  <si>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</si>
  <si>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</si>
  <si>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</si>
  <si>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</si>
  <si>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</si>
  <si>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</si>
  <si>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</si>
  <si>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</si>
  <si>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</si>
  <si>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</si>
  <si>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</si>
  <si>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</si>
  <si>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</si>
  <si>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</si>
  <si>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</si>
  <si>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</si>
  <si>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</si>
  <si>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</si>
  <si>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</si>
  <si>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</si>
  <si>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</si>
  <si>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</si>
  <si>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</si>
  <si>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</si>
  <si>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</si>
  <si>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</si>
  <si>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</si>
  <si>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</si>
  <si>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</si>
  <si>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</si>
  <si>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</si>
  <si>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</si>
  <si>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</si>
  <si>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</si>
  <si>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</si>
  <si>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</si>
  <si>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</si>
  <si>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</si>
  <si>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</si>
  <si>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</si>
  <si>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</si>
  <si>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</si>
  <si>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</si>
  <si>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</si>
  <si>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</si>
  <si>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</si>
  <si>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</si>
  <si>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</si>
  <si>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</si>
  <si>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</si>
  <si>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</si>
  <si>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</si>
  <si>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</si>
  <si>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</si>
  <si>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</si>
  <si>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</si>
  <si>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</si>
  <si>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</si>
  <si>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</si>
  <si>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</si>
  <si>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</si>
  <si>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</si>
  <si>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</si>
  <si>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</si>
  <si>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</si>
  <si>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</si>
  <si>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</si>
  <si>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</si>
  <si>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</si>
  <si>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</si>
  <si>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</si>
  <si>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</si>
  <si>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</si>
  <si>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</si>
  <si>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</si>
  <si>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</si>
  <si>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</si>
  <si>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</si>
  <si>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</si>
  <si>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</si>
  <si>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</si>
  <si>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</si>
  <si>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</si>
  <si>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</si>
  <si>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</si>
  <si>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</si>
  <si>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</si>
  <si>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</si>
  <si>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</si>
  <si>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</si>
  <si>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</si>
  <si>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</si>
  <si>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</si>
  <si>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</si>
  <si>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</si>
  <si>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</si>
  <si>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</si>
  <si>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</si>
  <si>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</si>
  <si>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</si>
  <si>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</si>
  <si>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</si>
  <si>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</si>
  <si>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</si>
  <si>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</si>
  <si>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</si>
  <si>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</si>
  <si>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</si>
  <si>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</si>
  <si>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</si>
  <si>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</si>
  <si>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</si>
  <si>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</si>
  <si>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</si>
  <si>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</si>
  <si>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</si>
  <si>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</si>
  <si>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</si>
  <si>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</si>
  <si>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</si>
  <si>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</si>
  <si>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</si>
  <si>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</si>
  <si>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</si>
  <si>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</si>
  <si>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</si>
  <si>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</si>
  <si>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</si>
  <si>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</si>
  <si>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</si>
  <si>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</si>
  <si>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</si>
  <si>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</si>
  <si>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</si>
  <si>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</si>
  <si>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</si>
  <si>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</si>
  <si>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</si>
  <si>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</si>
  <si>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</si>
  <si>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</si>
  <si>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</si>
  <si>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</si>
  <si>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</si>
  <si>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</si>
  <si>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</si>
  <si>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</si>
  <si>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</si>
  <si>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</si>
  <si>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</si>
  <si>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</si>
  <si>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</si>
  <si>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</si>
  <si>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</si>
  <si>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</si>
  <si>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</si>
  <si>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</si>
  <si>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</si>
  <si>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</si>
  <si>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</si>
  <si>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</si>
  <si>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</si>
  <si>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</si>
  <si>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</si>
  <si>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</si>
  <si>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</si>
  <si>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</si>
  <si>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</si>
  <si>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</si>
  <si>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</si>
  <si>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</si>
  <si>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</si>
  <si>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</si>
  <si>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</si>
  <si>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</si>
  <si>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</si>
  <si>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</si>
  <si>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</si>
  <si>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</si>
  <si>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</si>
  <si>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</si>
  <si>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</si>
  <si>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</si>
  <si>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</si>
  <si>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</si>
  <si>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</si>
  <si>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</si>
  <si>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</si>
  <si>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</si>
  <si>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</si>
  <si>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</si>
  <si>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</si>
  <si>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</si>
  <si>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 xml:space="preserve">  24800-24849-NYS Cannabis Revenue</t>
  </si>
  <si>
    <t>1st Quarter</t>
  </si>
  <si>
    <t>APRIL - JUNE</t>
  </si>
  <si>
    <r>
      <t xml:space="preserve">SERVICES </t>
    </r>
    <r>
      <rPr>
        <b/>
        <vertAlign val="superscript"/>
        <sz val="12.5"/>
        <rFont val="Arial"/>
        <family val="2"/>
      </rPr>
      <t>(*)</t>
    </r>
  </si>
  <si>
    <t>Building Administration Account</t>
  </si>
  <si>
    <t>Health Insurance Revolving Fund</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</si>
  <si>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</si>
  <si>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</si>
  <si>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</si>
  <si>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</si>
  <si>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</si>
  <si>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</si>
  <si>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</si>
  <si>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</si>
  <si>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</si>
  <si>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Unemployment Insurance, Interest &amp; Penalty</t>
  </si>
  <si>
    <t>October 31, 2021</t>
  </si>
  <si>
    <t>A portion of Personal Income Tax receipts is transferred to the State Special Revenue School Tax Relief (STAR)</t>
  </si>
  <si>
    <t>Fund to be used to reimburse school districts for the STAR property tax exemptions for homeowners and payments</t>
  </si>
  <si>
    <t>2nd Quarter</t>
  </si>
  <si>
    <t>JULY - SEPTEMBER</t>
  </si>
  <si>
    <t>4.</t>
  </si>
  <si>
    <t>(4)</t>
  </si>
  <si>
    <t>November 30, 2021</t>
  </si>
  <si>
    <t>all</t>
  </si>
  <si>
    <t xml:space="preserve">  Cannabis</t>
  </si>
  <si>
    <t xml:space="preserve">         Cannabis</t>
  </si>
  <si>
    <t xml:space="preserve">         Cannabis </t>
  </si>
  <si>
    <t xml:space="preserve">  23750-23799-Medical Cannabis Trust Fund</t>
  </si>
  <si>
    <t>Medical Cannabis Health Operation and Oversight</t>
  </si>
  <si>
    <t>December 31, 2021</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</si>
  <si>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</si>
  <si>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</si>
  <si>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</si>
  <si>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</si>
  <si>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</si>
  <si>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</si>
  <si>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</si>
  <si>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Mobile Sports(*)</t>
  </si>
  <si>
    <t xml:space="preserve">            Mobile Sports(**)</t>
  </si>
  <si>
    <t xml:space="preserve">        Mobile Sports(***)</t>
  </si>
  <si>
    <t xml:space="preserve">(**)  Eliminations between State and Federal Special Revenue Funds are not included.   </t>
  </si>
  <si>
    <t xml:space="preserve">       from dedicated revenue sources (including operating transfers from Federal funds) and Debt Service Funds. </t>
  </si>
  <si>
    <t xml:space="preserve">        Mobile Sports(**)</t>
  </si>
  <si>
    <t>(**)  November and December Mobile Sports collections represent one-time license fees paid by Mobile Sports Wagering vendors. November Mobile Sports collections temporarily deposited to Lottery were reclassed in December.</t>
  </si>
  <si>
    <t xml:space="preserve">        Lottery(**)</t>
  </si>
  <si>
    <t>(***)  November and December Mobile Sports collections represent one-time license fees paid by Mobile Sports Wagering vendors. November Mobile Sports collections temporarily deposited to Lottery were reclassed in December.</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</si>
  <si>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</si>
  <si>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</si>
  <si>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Business &amp; Licensing Services Account </t>
  </si>
  <si>
    <t>Patron Services Account</t>
  </si>
  <si>
    <t>State Lottery Fund</t>
  </si>
  <si>
    <t>Training and Education Program on OSHA</t>
  </si>
  <si>
    <t>MTA Operating Assistance</t>
  </si>
  <si>
    <t>Federal Employment &amp; Training Grants</t>
  </si>
  <si>
    <t xml:space="preserve">payments for patients residing in State-operated Health and Mental Hygiene facilities, SUNY Capital </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</si>
  <si>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</si>
  <si>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</si>
  <si>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        Lottery(***)</t>
  </si>
  <si>
    <t>January 31, 2022</t>
  </si>
  <si>
    <t>JAN. 2021</t>
  </si>
  <si>
    <t>10 MOS. ENDED</t>
  </si>
  <si>
    <t>JAN. 31, 2021</t>
  </si>
  <si>
    <t>JAN. 2022</t>
  </si>
  <si>
    <t>JAN. 31, 2022</t>
  </si>
  <si>
    <t>January 2022</t>
  </si>
  <si>
    <t xml:space="preserve">FOR TEN MONTHS ENDED JANUARY 31, 2022    </t>
  </si>
  <si>
    <t>10 Months Ended January 31</t>
  </si>
  <si>
    <t>JANUARY 1, 2022</t>
  </si>
  <si>
    <t>JANUARY 31, 2022</t>
  </si>
  <si>
    <t>10 MONTHS ENDED</t>
  </si>
  <si>
    <t>FOR THE MONTH OF JANUARY 2022</t>
  </si>
  <si>
    <t>10 MONTHS ENDED JANUARY 31</t>
  </si>
  <si>
    <t>JANUARY 2022</t>
  </si>
  <si>
    <t>JANUARY 2021</t>
  </si>
  <si>
    <t>10 Months Ended</t>
  </si>
  <si>
    <t>10 Months Ended January 31, 2022 (**)</t>
  </si>
  <si>
    <t>January</t>
  </si>
  <si>
    <t>Fund Balances (Deficits) at January 31, 2022</t>
  </si>
  <si>
    <t>the current fiscal quarter. As of January 31, 2022 - pursuant to a certification of the Budget Director -</t>
  </si>
  <si>
    <t>as of January 31, 2022.</t>
  </si>
  <si>
    <t>Nursing Home Transition &amp; Diversion</t>
  </si>
  <si>
    <t xml:space="preserve">As of January 31, 2022, $9,550,954.14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</si>
  <si>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2022-23 Executive Budget dated January 18, 2022.</t>
  </si>
  <si>
    <t xml:space="preserve">FOR THE TEN MONTHS ENDED JANUARY 31, 2022     </t>
  </si>
  <si>
    <t>3rd Quarter</t>
  </si>
  <si>
    <t>OCTOBER - DECEMBER</t>
  </si>
  <si>
    <t>the reserve amount is ($164.4m), which was funded by a transfer from the General Fund.</t>
  </si>
  <si>
    <t xml:space="preserve">to homeowners for the STAR Property Rebate Program.  School Tax Relief payments were ($1,866.1m) </t>
  </si>
  <si>
    <t>Entertainment Diversity Job Training Development</t>
  </si>
  <si>
    <t xml:space="preserve">operated health, mental hygiene and State University facilities to Debt Service funds ($13.0m), and  </t>
  </si>
  <si>
    <t xml:space="preserve">the State University Income Fund ($227.9m). </t>
  </si>
  <si>
    <t xml:space="preserve">Fund and Department of Health Income Fund ($1,022.1m) representing the federal share of Medicaid </t>
  </si>
  <si>
    <t>Projects Fund ($2.7m) and All Other Capital Projects ($99.5m).</t>
  </si>
  <si>
    <t>State Police Motor Vehicle Law</t>
  </si>
  <si>
    <t xml:space="preserve">of Health ($122.7m). </t>
  </si>
  <si>
    <r>
      <t>Capital Projects Funds</t>
    </r>
    <r>
      <rPr>
        <b/>
        <sz val="9"/>
        <rFont val="Arial"/>
        <family val="2"/>
      </rPr>
      <t xml:space="preserve"> </t>
    </r>
    <r>
      <rPr>
        <sz val="9"/>
        <rFont val="Arial"/>
        <family val="2"/>
      </rPr>
      <t xml:space="preserve">“Transfers To Other Funds” includes transfers to the General Fund ($271.8m) and </t>
    </r>
  </si>
  <si>
    <t xml:space="preserve"> the General Debt Service Fund - Lease Purchase ($71.0m).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</si>
</sst>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0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697">
    <xf numFmtId="164" fontId="0" fillId="0" borderId="0"/>
    <xf numFmtId="43" fontId="40" fillId="0" borderId="0" applyFont="0" applyFill="0" applyBorder="0" applyAlignment="0" applyProtection="0"/>
    <xf numFmtId="0" fontId="38" fillId="0" borderId="0"/>
    <xf numFmtId="0" fontId="38" fillId="0" borderId="0"/>
    <xf numFmtId="0" fontId="86" fillId="0" borderId="0"/>
    <xf numFmtId="43" fontId="86"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98" fillId="0" borderId="0"/>
    <xf numFmtId="43" fontId="99" fillId="0" borderId="0" applyFont="0" applyFill="0" applyBorder="0" applyAlignment="0" applyProtection="0"/>
    <xf numFmtId="0" fontId="38" fillId="0" borderId="0"/>
    <xf numFmtId="43" fontId="43"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8" fillId="0" borderId="0"/>
    <xf numFmtId="175" fontId="40" fillId="0" borderId="0"/>
    <xf numFmtId="0" fontId="40"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112" fillId="0" borderId="0"/>
    <xf numFmtId="43" fontId="113" fillId="0" borderId="0" applyFont="0" applyFill="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38" fillId="0" borderId="0"/>
    <xf numFmtId="0" fontId="99" fillId="0" borderId="0"/>
    <xf numFmtId="43" fontId="99" fillId="0" borderId="0" applyFont="0" applyFill="0" applyBorder="0" applyAlignment="0" applyProtection="0"/>
    <xf numFmtId="0" fontId="37"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7"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7"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7"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7"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7"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7"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7"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7"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1"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3"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6"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3"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4"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5"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9"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2"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8"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1" fillId="0" borderId="0"/>
    <xf numFmtId="0" fontId="30"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2"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6" fillId="0" borderId="9" applyNumberFormat="0" applyFill="0" applyAlignment="0" applyProtection="0"/>
    <xf numFmtId="0" fontId="58" fillId="0" borderId="65" applyNumberFormat="0" applyFill="0" applyAlignment="0" applyProtection="0"/>
    <xf numFmtId="0" fontId="58" fillId="0" borderId="65" applyNumberFormat="0" applyFill="0" applyAlignment="0" applyProtection="0"/>
    <xf numFmtId="0" fontId="3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20" fillId="0" borderId="0"/>
    <xf numFmtId="0" fontId="38" fillId="0" borderId="0"/>
    <xf numFmtId="0" fontId="40" fillId="0" borderId="0"/>
    <xf numFmtId="0" fontId="38"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3"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40" fillId="0" borderId="0" applyFont="0" applyFill="0" applyBorder="0" applyAlignment="0" applyProtection="0"/>
    <xf numFmtId="0" fontId="40" fillId="0" borderId="0"/>
    <xf numFmtId="0" fontId="99" fillId="0" borderId="0"/>
    <xf numFmtId="0" fontId="38"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1" fillId="0" borderId="0"/>
    <xf numFmtId="0" fontId="18" fillId="0" borderId="0"/>
    <xf numFmtId="0" fontId="18" fillId="0" borderId="0"/>
    <xf numFmtId="0" fontId="18" fillId="0" borderId="0"/>
    <xf numFmtId="0" fontId="98" fillId="0" borderId="0"/>
    <xf numFmtId="0" fontId="1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50" fillId="0" borderId="0"/>
    <xf numFmtId="0" fontId="150" fillId="0" borderId="0"/>
    <xf numFmtId="0" fontId="18" fillId="0" borderId="0"/>
    <xf numFmtId="0" fontId="38" fillId="0" borderId="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8" fillId="0" borderId="0"/>
    <xf numFmtId="0" fontId="152" fillId="0" borderId="0"/>
    <xf numFmtId="9" fontId="38" fillId="0" borderId="0" applyFont="0" applyFill="0" applyBorder="0" applyAlignment="0" applyProtection="0"/>
    <xf numFmtId="43" fontId="38" fillId="0" borderId="0" applyFont="0" applyFill="0" applyBorder="0" applyAlignment="0" applyProtection="0"/>
    <xf numFmtId="0" fontId="43" fillId="0" borderId="0"/>
    <xf numFmtId="43" fontId="43"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175" fontId="38"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98" fillId="0" borderId="0"/>
    <xf numFmtId="0" fontId="17" fillId="0" borderId="0"/>
    <xf numFmtId="0" fontId="17" fillId="0" borderId="0"/>
    <xf numFmtId="0" fontId="38"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9" fontId="164"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8" fillId="0" borderId="0"/>
    <xf numFmtId="0" fontId="113" fillId="0" borderId="0"/>
    <xf numFmtId="0" fontId="113" fillId="0" borderId="0"/>
    <xf numFmtId="0" fontId="113" fillId="0" borderId="0"/>
    <xf numFmtId="0" fontId="38" fillId="0" borderId="0"/>
    <xf numFmtId="0" fontId="113" fillId="0" borderId="0"/>
    <xf numFmtId="0" fontId="38" fillId="0" borderId="0"/>
    <xf numFmtId="0" fontId="38" fillId="0" borderId="0"/>
    <xf numFmtId="0" fontId="38" fillId="0" borderId="0"/>
    <xf numFmtId="0" fontId="38" fillId="0" borderId="0"/>
    <xf numFmtId="0" fontId="38" fillId="0" borderId="0"/>
    <xf numFmtId="0" fontId="98" fillId="0" borderId="0"/>
    <xf numFmtId="0" fontId="113" fillId="0" borderId="0"/>
    <xf numFmtId="0" fontId="113" fillId="0" borderId="0"/>
    <xf numFmtId="0" fontId="113" fillId="0" borderId="0"/>
    <xf numFmtId="0" fontId="113" fillId="0" borderId="0"/>
    <xf numFmtId="0" fontId="3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3" fillId="0" borderId="0"/>
    <xf numFmtId="0" fontId="106" fillId="33" borderId="73"/>
    <xf numFmtId="175"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164" fontId="38" fillId="0" borderId="0"/>
    <xf numFmtId="0" fontId="174" fillId="0" borderId="0"/>
    <xf numFmtId="0" fontId="106" fillId="33" borderId="83"/>
    <xf numFmtId="0" fontId="174" fillId="0" borderId="0"/>
    <xf numFmtId="0" fontId="14" fillId="0" borderId="0"/>
    <xf numFmtId="0" fontId="174" fillId="0" borderId="0"/>
    <xf numFmtId="0" fontId="174" fillId="0" borderId="0"/>
    <xf numFmtId="0" fontId="13"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3"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3" fillId="0" borderId="0"/>
    <xf numFmtId="0" fontId="175" fillId="0" borderId="0"/>
    <xf numFmtId="0" fontId="177" fillId="0" borderId="0"/>
    <xf numFmtId="0" fontId="174" fillId="0" borderId="0"/>
    <xf numFmtId="0" fontId="174" fillId="0" borderId="0"/>
    <xf numFmtId="0" fontId="12" fillId="0" borderId="0"/>
    <xf numFmtId="0" fontId="174" fillId="0" borderId="0"/>
    <xf numFmtId="0" fontId="174" fillId="0" borderId="0"/>
    <xf numFmtId="0" fontId="12" fillId="0" borderId="0"/>
    <xf numFmtId="0" fontId="12" fillId="0" borderId="0"/>
    <xf numFmtId="0" fontId="43" fillId="0" borderId="0"/>
    <xf numFmtId="0" fontId="11" fillId="0" borderId="0"/>
    <xf numFmtId="0" fontId="175" fillId="0" borderId="0"/>
    <xf numFmtId="0" fontId="175" fillId="0" borderId="0"/>
    <xf numFmtId="0" fontId="175" fillId="0" borderId="0"/>
    <xf numFmtId="0" fontId="178" fillId="0" borderId="0"/>
    <xf numFmtId="0" fontId="178" fillId="0" borderId="0"/>
    <xf numFmtId="0" fontId="10" fillId="0" borderId="0"/>
    <xf numFmtId="0" fontId="10" fillId="0" borderId="0"/>
    <xf numFmtId="43" fontId="43" fillId="0" borderId="0" applyFont="0" applyFill="0" applyBorder="0" applyAlignment="0" applyProtection="0"/>
    <xf numFmtId="0" fontId="10" fillId="0" borderId="0"/>
    <xf numFmtId="0" fontId="178" fillId="0" borderId="0"/>
    <xf numFmtId="0" fontId="178" fillId="0" borderId="0"/>
    <xf numFmtId="0" fontId="9" fillId="0" borderId="0"/>
    <xf numFmtId="0" fontId="9" fillId="0" borderId="0"/>
    <xf numFmtId="0" fontId="9" fillId="0" borderId="0"/>
    <xf numFmtId="0" fontId="178" fillId="0" borderId="0"/>
    <xf numFmtId="0" fontId="175" fillId="0" borderId="0"/>
    <xf numFmtId="0" fontId="8" fillId="0" borderId="0"/>
    <xf numFmtId="0" fontId="175" fillId="0" borderId="0"/>
    <xf numFmtId="0" fontId="175" fillId="0" borderId="0"/>
    <xf numFmtId="0" fontId="175" fillId="0" borderId="0"/>
    <xf numFmtId="0" fontId="8" fillId="0" borderId="0"/>
    <xf numFmtId="0" fontId="175" fillId="0" borderId="0"/>
    <xf numFmtId="0" fontId="175" fillId="0" borderId="0"/>
    <xf numFmtId="164" fontId="179" fillId="0" borderId="0"/>
    <xf numFmtId="43" fontId="38" fillId="0" borderId="0" applyFont="0" applyFill="0" applyBorder="0" applyAlignment="0" applyProtection="0"/>
    <xf numFmtId="0" fontId="38" fillId="0" borderId="0"/>
    <xf numFmtId="0" fontId="38" fillId="0" borderId="0"/>
    <xf numFmtId="0" fontId="43" fillId="0" borderId="0"/>
    <xf numFmtId="43" fontId="43" fillId="0" borderId="0" applyFont="0" applyFill="0" applyBorder="0" applyAlignment="0" applyProtection="0"/>
    <xf numFmtId="0" fontId="98" fillId="0" borderId="0"/>
    <xf numFmtId="175" fontId="3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8" fillId="0" borderId="0"/>
    <xf numFmtId="0" fontId="175" fillId="0" borderId="0"/>
    <xf numFmtId="0" fontId="127" fillId="47" borderId="89" applyNumberFormat="0" applyAlignment="0" applyProtection="0"/>
    <xf numFmtId="0" fontId="127" fillId="47" borderId="89" applyNumberFormat="0" applyAlignment="0" applyProtection="0"/>
    <xf numFmtId="0" fontId="58" fillId="0" borderId="90" applyNumberFormat="0" applyFill="0" applyAlignment="0" applyProtection="0"/>
    <xf numFmtId="0" fontId="58" fillId="0" borderId="90" applyNumberFormat="0" applyFill="0" applyAlignment="0" applyProtection="0"/>
    <xf numFmtId="0" fontId="17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75"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9" fontId="38" fillId="0" borderId="0" applyFont="0" applyFill="0" applyBorder="0" applyAlignment="0" applyProtection="0"/>
    <xf numFmtId="0" fontId="8" fillId="0" borderId="0"/>
    <xf numFmtId="0" fontId="106" fillId="33" borderId="83"/>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3" fontId="38" fillId="0" borderId="0" applyFont="0" applyFill="0" applyBorder="0" applyAlignment="0" applyProtection="0"/>
    <xf numFmtId="0" fontId="43" fillId="0" borderId="0"/>
    <xf numFmtId="0" fontId="175" fillId="0" borderId="0"/>
    <xf numFmtId="0" fontId="43" fillId="0" borderId="0"/>
    <xf numFmtId="0" fontId="8" fillId="0" borderId="0"/>
    <xf numFmtId="0" fontId="43" fillId="0" borderId="0"/>
    <xf numFmtId="0" fontId="43" fillId="0" borderId="0"/>
    <xf numFmtId="0" fontId="8" fillId="0" borderId="0"/>
    <xf numFmtId="0" fontId="8" fillId="0" borderId="0"/>
    <xf numFmtId="0" fontId="175" fillId="0" borderId="0"/>
    <xf numFmtId="0" fontId="8" fillId="0" borderId="0"/>
    <xf numFmtId="0" fontId="175" fillId="0" borderId="0"/>
    <xf numFmtId="0" fontId="43" fillId="0" borderId="0"/>
    <xf numFmtId="0" fontId="43" fillId="0" borderId="0"/>
    <xf numFmtId="0" fontId="8" fillId="0" borderId="0"/>
    <xf numFmtId="0" fontId="43" fillId="0" borderId="0"/>
    <xf numFmtId="0" fontId="43" fillId="0" borderId="0"/>
    <xf numFmtId="0" fontId="8" fillId="0" borderId="0"/>
    <xf numFmtId="0" fontId="8" fillId="0" borderId="0"/>
    <xf numFmtId="0" fontId="8" fillId="0" borderId="0"/>
    <xf numFmtId="0" fontId="180" fillId="0" borderId="0"/>
    <xf numFmtId="0" fontId="180" fillId="0" borderId="0"/>
    <xf numFmtId="0" fontId="7" fillId="0" borderId="0"/>
    <xf numFmtId="0" fontId="7" fillId="0" borderId="0"/>
    <xf numFmtId="175" fontId="3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38" fillId="0" borderId="0"/>
    <xf numFmtId="0" fontId="181" fillId="0" borderId="0"/>
    <xf numFmtId="0" fontId="181" fillId="0" borderId="0"/>
    <xf numFmtId="0" fontId="6" fillId="0" borderId="0"/>
    <xf numFmtId="0" fontId="6" fillId="0" borderId="0"/>
    <xf numFmtId="0" fontId="181" fillId="0" borderId="0"/>
    <xf numFmtId="0" fontId="181" fillId="0" borderId="0"/>
    <xf numFmtId="0" fontId="181" fillId="0" borderId="0"/>
    <xf numFmtId="0" fontId="181" fillId="0" borderId="0"/>
    <xf numFmtId="0" fontId="181" fillId="0" borderId="0"/>
    <xf numFmtId="0" fontId="6" fillId="0" borderId="0"/>
    <xf numFmtId="0" fontId="183" fillId="0" borderId="0"/>
    <xf numFmtId="0" fontId="5" fillId="0" borderId="0"/>
    <xf numFmtId="0" fontId="5"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6" fillId="33" borderId="93"/>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164" fontId="38"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3"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6" fillId="33" borderId="93"/>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 fillId="0" borderId="0"/>
    <xf numFmtId="43" fontId="185" fillId="0" borderId="0" applyFont="0" applyFill="0" applyBorder="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44" fontId="189" fillId="0" borderId="0" applyFont="0" applyFill="0" applyBorder="0" applyAlignment="0" applyProtection="0"/>
    <xf numFmtId="0" fontId="191" fillId="0" borderId="0"/>
    <xf numFmtId="0" fontId="44" fillId="0" borderId="97" applyNumberFormat="0" applyFont="0" applyBorder="0">
      <alignment horizontal="right"/>
    </xf>
    <xf numFmtId="0" fontId="195" fillId="0" borderId="0" applyFill="0"/>
    <xf numFmtId="0" fontId="43" fillId="0" borderId="0" applyNumberFormat="0" applyFont="0" applyBorder="0" applyAlignment="0"/>
    <xf numFmtId="0" fontId="196" fillId="0" borderId="0" applyFill="0">
      <alignment horizontal="left" indent="1"/>
    </xf>
    <xf numFmtId="44" fontId="191" fillId="0" borderId="0" applyFont="0" applyFill="0" applyBorder="0" applyAlignment="0" applyProtection="0"/>
    <xf numFmtId="43" fontId="191" fillId="0" borderId="0" applyFont="0" applyFill="0" applyBorder="0" applyAlignment="0" applyProtection="0"/>
    <xf numFmtId="4" fontId="114" fillId="0" borderId="10" applyFill="0"/>
    <xf numFmtId="0" fontId="45" fillId="0" borderId="0" applyFill="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98" fillId="0" borderId="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44" fontId="43" fillId="0" borderId="0" applyFont="0" applyFill="0" applyBorder="0" applyAlignment="0" applyProtection="0"/>
    <xf numFmtId="43" fontId="43" fillId="0" borderId="0" applyFont="0" applyFill="0" applyBorder="0" applyAlignment="0" applyProtection="0"/>
  </cellStyleXfs>
  <cellXfs count="4012">
    <xf numFmtId="164" fontId="0" fillId="0" borderId="0" xfId="0"/>
    <xf numFmtId="166" fontId="43" fillId="0" borderId="0" xfId="0" applyNumberFormat="1" applyFont="1" applyAlignment="1" applyProtection="1"/>
    <xf numFmtId="166" fontId="44" fillId="0" borderId="0" xfId="0" applyNumberFormat="1" applyFont="1" applyAlignment="1" applyProtection="1"/>
    <xf numFmtId="166" fontId="45" fillId="0" borderId="10" xfId="0" applyNumberFormat="1" applyFont="1" applyBorder="1" applyAlignment="1" applyProtection="1">
      <alignment horizontal="centerContinuous"/>
    </xf>
    <xf numFmtId="166" fontId="45" fillId="0" borderId="0" xfId="0" quotePrefix="1" applyNumberFormat="1" applyFont="1" applyBorder="1" applyAlignment="1" applyProtection="1">
      <alignment horizontal="center"/>
    </xf>
    <xf numFmtId="166" fontId="45" fillId="0" borderId="0" xfId="0" applyNumberFormat="1" applyFont="1" applyBorder="1" applyAlignment="1" applyProtection="1">
      <alignment horizontal="center"/>
    </xf>
    <xf numFmtId="166" fontId="45" fillId="0" borderId="10" xfId="0" applyNumberFormat="1" applyFont="1" applyBorder="1" applyAlignment="1" applyProtection="1">
      <alignment horizontal="center"/>
    </xf>
    <xf numFmtId="166" fontId="40" fillId="0" borderId="0" xfId="0" applyNumberFormat="1" applyFont="1" applyBorder="1" applyAlignment="1" applyProtection="1"/>
    <xf numFmtId="164" fontId="40" fillId="0" borderId="0" xfId="0" applyNumberFormat="1" applyFont="1" applyBorder="1" applyAlignment="1" applyProtection="1">
      <protection locked="0"/>
    </xf>
    <xf numFmtId="170" fontId="40" fillId="0" borderId="0" xfId="0" applyNumberFormat="1" applyFont="1" applyAlignment="1" applyProtection="1"/>
    <xf numFmtId="170" fontId="40" fillId="0" borderId="0" xfId="0" applyNumberFormat="1" applyFont="1" applyAlignment="1" applyProtection="1">
      <alignment horizontal="center"/>
    </xf>
    <xf numFmtId="170" fontId="45" fillId="0" borderId="16" xfId="0" applyNumberFormat="1" applyFont="1" applyBorder="1" applyAlignment="1" applyProtection="1">
      <alignment horizontal="right"/>
    </xf>
    <xf numFmtId="170" fontId="45" fillId="0" borderId="16" xfId="0" applyNumberFormat="1" applyFont="1" applyBorder="1" applyAlignment="1" applyProtection="1"/>
    <xf numFmtId="164" fontId="45" fillId="0" borderId="16" xfId="0" applyNumberFormat="1" applyFont="1" applyBorder="1" applyAlignment="1" applyProtection="1">
      <protection locked="0"/>
    </xf>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Border="1" applyAlignment="1" applyProtection="1">
      <alignment horizontal="center"/>
    </xf>
    <xf numFmtId="170" fontId="45" fillId="0" borderId="10" xfId="0" applyNumberFormat="1" applyFont="1" applyBorder="1" applyAlignment="1" applyProtection="1"/>
    <xf numFmtId="170" fontId="40" fillId="0" borderId="0" xfId="0" applyNumberFormat="1" applyFont="1" applyFill="1" applyAlignment="1" applyProtection="1">
      <alignment horizontal="center"/>
    </xf>
    <xf numFmtId="170" fontId="40" fillId="0" borderId="0" xfId="0" applyNumberFormat="1" applyFont="1" applyFill="1" applyAlignment="1" applyProtection="1"/>
    <xf numFmtId="170" fontId="45" fillId="0" borderId="0" xfId="0" applyNumberFormat="1" applyFont="1" applyFill="1" applyAlignment="1" applyProtection="1"/>
    <xf numFmtId="164" fontId="45" fillId="0" borderId="0" xfId="0" applyNumberFormat="1" applyFont="1" applyBorder="1" applyAlignment="1" applyProtection="1">
      <protection locked="0"/>
    </xf>
    <xf numFmtId="174" fontId="45" fillId="0" borderId="17" xfId="0" applyNumberFormat="1" applyFont="1" applyFill="1" applyBorder="1" applyAlignment="1" applyProtection="1"/>
    <xf numFmtId="170" fontId="45" fillId="0" borderId="0" xfId="0" applyNumberFormat="1" applyFont="1" applyAlignment="1"/>
    <xf numFmtId="170" fontId="45" fillId="0" borderId="0" xfId="0" applyNumberFormat="1" applyFont="1" applyBorder="1" applyAlignment="1"/>
    <xf numFmtId="170" fontId="45" fillId="0" borderId="10" xfId="0" applyNumberFormat="1" applyFont="1" applyBorder="1" applyAlignment="1"/>
    <xf numFmtId="0" fontId="45" fillId="0" borderId="0" xfId="2" applyNumberFormat="1" applyFont="1" applyAlignment="1"/>
    <xf numFmtId="165" fontId="40" fillId="0" borderId="0" xfId="2" applyNumberFormat="1" applyFont="1" applyAlignment="1"/>
    <xf numFmtId="0" fontId="40" fillId="0" borderId="0" xfId="2" applyNumberFormat="1" applyFont="1" applyAlignment="1"/>
    <xf numFmtId="165" fontId="40" fillId="0" borderId="0" xfId="2" applyNumberFormat="1" applyFont="1" applyAlignment="1" applyProtection="1">
      <protection locked="0"/>
    </xf>
    <xf numFmtId="165" fontId="40" fillId="0" borderId="0" xfId="2" applyNumberFormat="1" applyFont="1" applyBorder="1" applyAlignment="1" applyProtection="1">
      <protection locked="0"/>
    </xf>
    <xf numFmtId="0" fontId="40" fillId="0" borderId="0" xfId="2" applyFont="1"/>
    <xf numFmtId="0" fontId="45" fillId="0" borderId="0" xfId="2" quotePrefix="1" applyNumberFormat="1" applyFont="1" applyAlignment="1">
      <alignment horizontal="left"/>
    </xf>
    <xf numFmtId="0" fontId="40" fillId="0" borderId="0" xfId="2" applyNumberFormat="1" applyFont="1" applyBorder="1" applyAlignment="1"/>
    <xf numFmtId="165" fontId="40"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40" fillId="0" borderId="20" xfId="2" applyNumberFormat="1" applyFont="1" applyBorder="1" applyAlignment="1"/>
    <xf numFmtId="165" fontId="40" fillId="0" borderId="20" xfId="2" applyNumberFormat="1" applyFont="1" applyBorder="1" applyAlignment="1"/>
    <xf numFmtId="165" fontId="64" fillId="0" borderId="0" xfId="2" applyNumberFormat="1" applyFont="1" applyBorder="1" applyAlignment="1" applyProtection="1">
      <protection locked="0"/>
    </xf>
    <xf numFmtId="0" fontId="40" fillId="0" borderId="21" xfId="2" applyNumberFormat="1" applyFont="1" applyBorder="1" applyAlignment="1"/>
    <xf numFmtId="0" fontId="40" fillId="0" borderId="22" xfId="2" applyNumberFormat="1" applyFont="1" applyBorder="1" applyAlignment="1"/>
    <xf numFmtId="0" fontId="40" fillId="0" borderId="0" xfId="2" applyFont="1" applyAlignment="1"/>
    <xf numFmtId="0" fontId="40" fillId="0" borderId="21" xfId="2" applyFont="1" applyBorder="1" applyAlignment="1"/>
    <xf numFmtId="0" fontId="40" fillId="0" borderId="0" xfId="2" applyFont="1" applyBorder="1" applyAlignment="1"/>
    <xf numFmtId="174" fontId="40" fillId="0" borderId="0" xfId="2" applyNumberFormat="1" applyFont="1" applyAlignment="1"/>
    <xf numFmtId="168" fontId="64" fillId="0" borderId="0" xfId="2" applyNumberFormat="1" applyFont="1" applyAlignment="1"/>
    <xf numFmtId="169" fontId="40" fillId="0" borderId="0" xfId="2" applyNumberFormat="1" applyFont="1" applyBorder="1" applyAlignment="1"/>
    <xf numFmtId="168" fontId="64" fillId="0" borderId="0" xfId="2" applyNumberFormat="1" applyFont="1" applyAlignment="1" applyProtection="1">
      <protection locked="0"/>
    </xf>
    <xf numFmtId="0" fontId="40" fillId="0" borderId="0" xfId="2" quotePrefix="1" applyNumberFormat="1" applyFont="1" applyAlignment="1">
      <alignment horizontal="left"/>
    </xf>
    <xf numFmtId="170" fontId="64" fillId="0" borderId="0" xfId="2" applyNumberFormat="1" applyFont="1" applyAlignment="1"/>
    <xf numFmtId="170" fontId="40" fillId="0" borderId="0" xfId="2" applyNumberFormat="1" applyFont="1" applyBorder="1" applyAlignment="1"/>
    <xf numFmtId="170" fontId="40" fillId="0" borderId="21" xfId="2" applyNumberFormat="1" applyFont="1" applyBorder="1" applyAlignment="1"/>
    <xf numFmtId="170" fontId="0" fillId="0" borderId="0" xfId="2" applyNumberFormat="1" applyFont="1" applyBorder="1"/>
    <xf numFmtId="166" fontId="40" fillId="0" borderId="0" xfId="2" applyNumberFormat="1" applyFont="1" applyBorder="1" applyAlignment="1"/>
    <xf numFmtId="170" fontId="40" fillId="0" borderId="0" xfId="2" applyNumberFormat="1" applyFont="1" applyBorder="1" applyAlignment="1">
      <alignment horizontal="center"/>
    </xf>
    <xf numFmtId="170" fontId="45" fillId="0" borderId="16" xfId="2" applyNumberFormat="1" applyFont="1" applyBorder="1" applyAlignment="1"/>
    <xf numFmtId="170" fontId="45" fillId="0" borderId="0" xfId="2" applyNumberFormat="1" applyFont="1" applyAlignment="1"/>
    <xf numFmtId="170" fontId="45" fillId="0" borderId="26" xfId="2" applyNumberFormat="1" applyFont="1" applyBorder="1" applyAlignment="1"/>
    <xf numFmtId="170" fontId="45" fillId="0" borderId="21" xfId="2" applyNumberFormat="1" applyFont="1" applyBorder="1" applyAlignment="1"/>
    <xf numFmtId="165" fontId="65" fillId="0" borderId="0" xfId="2" applyNumberFormat="1" applyFont="1" applyAlignment="1"/>
    <xf numFmtId="170" fontId="40" fillId="0" borderId="0" xfId="2" applyNumberFormat="1" applyFont="1" applyAlignment="1"/>
    <xf numFmtId="170" fontId="40" fillId="0" borderId="0" xfId="2" applyNumberFormat="1" applyFont="1" applyFill="1" applyBorder="1" applyAlignment="1"/>
    <xf numFmtId="170" fontId="40" fillId="0" borderId="0" xfId="2" applyNumberFormat="1" applyFont="1" applyFill="1" applyBorder="1" applyAlignment="1">
      <alignment horizontal="center"/>
    </xf>
    <xf numFmtId="170" fontId="40" fillId="0" borderId="0" xfId="2" applyNumberFormat="1" applyFont="1" applyAlignment="1">
      <alignment horizontal="center"/>
    </xf>
    <xf numFmtId="170" fontId="40" fillId="0" borderId="0" xfId="2" applyNumberFormat="1" applyFont="1" applyFill="1" applyBorder="1" applyAlignment="1">
      <alignment horizontal="right"/>
    </xf>
    <xf numFmtId="170" fontId="45" fillId="0" borderId="29" xfId="2" applyNumberFormat="1" applyFont="1" applyBorder="1" applyAlignment="1"/>
    <xf numFmtId="170" fontId="45" fillId="0" borderId="30" xfId="2" applyNumberFormat="1" applyFont="1" applyBorder="1" applyAlignment="1"/>
    <xf numFmtId="170" fontId="45" fillId="0" borderId="10" xfId="2" quotePrefix="1" applyNumberFormat="1" applyFont="1" applyBorder="1" applyAlignment="1">
      <alignment horizontal="center"/>
    </xf>
    <xf numFmtId="170" fontId="45" fillId="0" borderId="10" xfId="2" applyNumberFormat="1" applyFont="1" applyBorder="1" applyAlignment="1"/>
    <xf numFmtId="170" fontId="45" fillId="0" borderId="25" xfId="2" applyNumberFormat="1" applyFont="1" applyBorder="1" applyAlignment="1"/>
    <xf numFmtId="170" fontId="45" fillId="0" borderId="0" xfId="2" applyNumberFormat="1" applyFont="1" applyBorder="1" applyAlignment="1"/>
    <xf numFmtId="170" fontId="40" fillId="0" borderId="0" xfId="2" applyNumberFormat="1" applyFont="1" applyAlignment="1">
      <alignment horizontal="right"/>
    </xf>
    <xf numFmtId="170" fontId="40" fillId="0" borderId="0" xfId="2" applyNumberFormat="1" applyFont="1" applyBorder="1" applyAlignment="1">
      <alignment horizontal="right"/>
    </xf>
    <xf numFmtId="170" fontId="40" fillId="0" borderId="13" xfId="2" applyNumberFormat="1" applyFont="1" applyBorder="1" applyAlignment="1"/>
    <xf numFmtId="0" fontId="40" fillId="0" borderId="0" xfId="2" quotePrefix="1" applyFont="1" applyBorder="1" applyAlignment="1"/>
    <xf numFmtId="170" fontId="45" fillId="0" borderId="0" xfId="2" quotePrefix="1" applyNumberFormat="1" applyFont="1" applyBorder="1" applyAlignment="1">
      <alignment horizontal="center"/>
    </xf>
    <xf numFmtId="170" fontId="45" fillId="0" borderId="0" xfId="2" applyNumberFormat="1" applyFont="1" applyAlignment="1">
      <alignment horizontal="center"/>
    </xf>
    <xf numFmtId="170" fontId="45" fillId="0" borderId="16" xfId="2" quotePrefix="1" applyNumberFormat="1" applyFont="1" applyBorder="1" applyAlignment="1"/>
    <xf numFmtId="170" fontId="45" fillId="0" borderId="0" xfId="2" applyNumberFormat="1" applyFont="1" applyAlignment="1">
      <alignment horizontal="right"/>
    </xf>
    <xf numFmtId="170" fontId="45" fillId="0" borderId="32" xfId="2" quotePrefix="1" applyNumberFormat="1" applyFont="1" applyBorder="1" applyAlignment="1">
      <alignment horizontal="right"/>
    </xf>
    <xf numFmtId="170" fontId="45" fillId="0" borderId="27" xfId="2" quotePrefix="1" applyNumberFormat="1" applyFont="1" applyBorder="1" applyAlignment="1"/>
    <xf numFmtId="0" fontId="40" fillId="0" borderId="0" xfId="2" quotePrefix="1" applyFont="1" applyBorder="1" applyAlignment="1">
      <alignment horizontal="right"/>
    </xf>
    <xf numFmtId="170" fontId="40" fillId="0" borderId="20" xfId="2" applyNumberFormat="1" applyFont="1" applyBorder="1" applyAlignment="1"/>
    <xf numFmtId="170" fontId="45" fillId="0" borderId="0" xfId="2" applyNumberFormat="1" applyFont="1" applyAlignment="1">
      <alignment vertical="center"/>
    </xf>
    <xf numFmtId="170" fontId="45" fillId="0" borderId="14" xfId="2" applyNumberFormat="1" applyFont="1" applyBorder="1" applyAlignment="1"/>
    <xf numFmtId="0" fontId="45" fillId="0" borderId="0" xfId="2" applyFont="1" applyBorder="1" applyAlignment="1"/>
    <xf numFmtId="165" fontId="65" fillId="0" borderId="0" xfId="2" applyNumberFormat="1" applyFont="1" applyAlignment="1" applyProtection="1">
      <protection locked="0"/>
    </xf>
    <xf numFmtId="174" fontId="45" fillId="0" borderId="20" xfId="2" applyNumberFormat="1" applyFont="1" applyBorder="1" applyAlignment="1"/>
    <xf numFmtId="174" fontId="45" fillId="0" borderId="0" xfId="2" applyNumberFormat="1" applyFont="1" applyAlignment="1"/>
    <xf numFmtId="174" fontId="45" fillId="0" borderId="21" xfId="2" applyNumberFormat="1" applyFont="1" applyBorder="1" applyAlignment="1"/>
    <xf numFmtId="174" fontId="45" fillId="0" borderId="22" xfId="2" applyNumberFormat="1" applyFont="1" applyBorder="1" applyAlignment="1"/>
    <xf numFmtId="174" fontId="45" fillId="0" borderId="34" xfId="2" applyNumberFormat="1" applyFont="1" applyBorder="1" applyAlignment="1"/>
    <xf numFmtId="174" fontId="45" fillId="0" borderId="35" xfId="2" applyNumberFormat="1" applyFont="1" applyBorder="1" applyAlignment="1"/>
    <xf numFmtId="169" fontId="40"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5" fillId="0" borderId="0" xfId="2" applyNumberFormat="1" applyFont="1" applyFill="1" applyAlignment="1"/>
    <xf numFmtId="165" fontId="40" fillId="0" borderId="0" xfId="2" applyNumberFormat="1" applyFont="1" applyFill="1" applyAlignment="1"/>
    <xf numFmtId="0" fontId="40" fillId="0" borderId="0" xfId="2" applyNumberFormat="1" applyFont="1" applyFill="1" applyAlignment="1"/>
    <xf numFmtId="0" fontId="45" fillId="0" borderId="0" xfId="2" quotePrefix="1" applyNumberFormat="1" applyFont="1" applyFill="1" applyAlignment="1">
      <alignment horizontal="left"/>
    </xf>
    <xf numFmtId="0" fontId="40" fillId="0" borderId="0" xfId="2" applyNumberFormat="1" applyFont="1" applyFill="1" applyBorder="1" applyAlignment="1"/>
    <xf numFmtId="0" fontId="45" fillId="0" borderId="0" xfId="2" applyNumberFormat="1" applyFont="1" applyFill="1" applyAlignment="1">
      <alignment horizontal="centerContinuous"/>
    </xf>
    <xf numFmtId="170" fontId="45" fillId="0" borderId="16" xfId="2" applyNumberFormat="1" applyFont="1" applyFill="1" applyBorder="1" applyAlignment="1">
      <alignment horizontal="right"/>
    </xf>
    <xf numFmtId="170" fontId="45" fillId="0" borderId="0" xfId="2" applyNumberFormat="1" applyFont="1" applyFill="1" applyAlignment="1"/>
    <xf numFmtId="170" fontId="45" fillId="0" borderId="10" xfId="2" applyNumberFormat="1" applyFont="1" applyFill="1" applyBorder="1" applyAlignment="1"/>
    <xf numFmtId="170" fontId="45" fillId="0" borderId="32" xfId="2" applyNumberFormat="1" applyFont="1" applyFill="1" applyBorder="1" applyAlignment="1">
      <alignment horizontal="right"/>
    </xf>
    <xf numFmtId="170" fontId="45" fillId="0" borderId="0" xfId="2" applyNumberFormat="1" applyFont="1" applyFill="1" applyBorder="1" applyAlignment="1"/>
    <xf numFmtId="170" fontId="45" fillId="0" borderId="27" xfId="2" applyNumberFormat="1" applyFont="1" applyFill="1" applyBorder="1" applyAlignment="1">
      <alignment horizontal="right"/>
    </xf>
    <xf numFmtId="166" fontId="40" fillId="0" borderId="0" xfId="2" applyNumberFormat="1" applyFont="1" applyFill="1" applyBorder="1" applyAlignment="1"/>
    <xf numFmtId="170" fontId="40" fillId="0" borderId="0" xfId="2" applyNumberFormat="1" applyFont="1" applyFill="1" applyAlignment="1"/>
    <xf numFmtId="170" fontId="40" fillId="0" borderId="0" xfId="2" applyNumberFormat="1" applyFont="1" applyFill="1" applyAlignment="1">
      <alignment horizontal="right"/>
    </xf>
    <xf numFmtId="170" fontId="45" fillId="0" borderId="10" xfId="2" applyNumberFormat="1" applyFont="1" applyFill="1" applyBorder="1" applyAlignment="1">
      <alignment horizontal="right"/>
    </xf>
    <xf numFmtId="170" fontId="45" fillId="0" borderId="12" xfId="2" applyNumberFormat="1" applyFont="1" applyFill="1" applyBorder="1" applyAlignment="1">
      <alignment horizontal="right"/>
    </xf>
    <xf numFmtId="170" fontId="45" fillId="0" borderId="11" xfId="2" applyNumberFormat="1" applyFont="1" applyFill="1" applyBorder="1" applyAlignment="1">
      <alignment horizontal="right"/>
    </xf>
    <xf numFmtId="170" fontId="45" fillId="0" borderId="16" xfId="2" applyNumberFormat="1" applyFont="1" applyFill="1" applyBorder="1" applyAlignment="1">
      <alignment horizontal="center"/>
    </xf>
    <xf numFmtId="170" fontId="45" fillId="0" borderId="32" xfId="2" applyNumberFormat="1" applyFont="1" applyFill="1" applyBorder="1" applyAlignment="1">
      <alignment horizontal="center"/>
    </xf>
    <xf numFmtId="170" fontId="45" fillId="0" borderId="27" xfId="2" applyNumberFormat="1" applyFont="1" applyFill="1" applyBorder="1" applyAlignment="1">
      <alignment horizontal="center"/>
    </xf>
    <xf numFmtId="170" fontId="40" fillId="0" borderId="20" xfId="2" applyNumberFormat="1" applyFont="1" applyFill="1" applyBorder="1" applyAlignment="1"/>
    <xf numFmtId="170" fontId="40" fillId="0" borderId="0" xfId="2" applyNumberFormat="1" applyFont="1" applyFill="1" applyAlignment="1">
      <alignment horizontal="center"/>
    </xf>
    <xf numFmtId="170" fontId="45" fillId="0" borderId="0" xfId="2" quotePrefix="1" applyNumberFormat="1" applyFont="1" applyFill="1" applyBorder="1" applyAlignment="1">
      <alignment horizontal="right"/>
    </xf>
    <xf numFmtId="170" fontId="45" fillId="0" borderId="13" xfId="2" quotePrefix="1" applyNumberFormat="1" applyFont="1" applyFill="1" applyBorder="1" applyAlignment="1">
      <alignment horizontal="right"/>
    </xf>
    <xf numFmtId="170" fontId="45" fillId="0" borderId="28" xfId="2" quotePrefix="1" applyNumberFormat="1" applyFont="1" applyFill="1" applyBorder="1" applyAlignment="1">
      <alignment horizontal="right"/>
    </xf>
    <xf numFmtId="170" fontId="45" fillId="0" borderId="10" xfId="2" quotePrefix="1" applyNumberFormat="1" applyFont="1" applyFill="1" applyBorder="1" applyAlignment="1">
      <alignment horizontal="right"/>
    </xf>
    <xf numFmtId="170" fontId="45" fillId="0" borderId="13" xfId="2" applyNumberFormat="1" applyFont="1" applyFill="1" applyBorder="1" applyAlignment="1">
      <alignment horizontal="right"/>
    </xf>
    <xf numFmtId="170" fontId="45" fillId="0" borderId="28" xfId="2" applyNumberFormat="1" applyFont="1" applyFill="1" applyBorder="1" applyAlignment="1">
      <alignment horizontal="right"/>
    </xf>
    <xf numFmtId="174" fontId="45" fillId="0" borderId="20" xfId="2" applyNumberFormat="1" applyFont="1" applyFill="1" applyBorder="1" applyAlignment="1">
      <alignment horizontal="right"/>
    </xf>
    <xf numFmtId="174" fontId="45" fillId="0" borderId="0" xfId="2" applyNumberFormat="1" applyFont="1" applyFill="1" applyAlignment="1"/>
    <xf numFmtId="174" fontId="45" fillId="0" borderId="20" xfId="2" applyNumberFormat="1" applyFont="1" applyFill="1" applyBorder="1" applyAlignment="1"/>
    <xf numFmtId="174" fontId="45" fillId="0" borderId="0" xfId="2" applyNumberFormat="1" applyFont="1" applyFill="1" applyAlignment="1">
      <alignment horizontal="center"/>
    </xf>
    <xf numFmtId="174" fontId="45" fillId="0" borderId="39" xfId="2" applyNumberFormat="1" applyFont="1" applyFill="1" applyBorder="1" applyAlignment="1">
      <alignment horizontal="right"/>
    </xf>
    <xf numFmtId="174" fontId="45" fillId="0" borderId="0" xfId="2" applyNumberFormat="1" applyFont="1" applyFill="1" applyBorder="1" applyAlignment="1"/>
    <xf numFmtId="166" fontId="40" fillId="0" borderId="0" xfId="2" applyNumberFormat="1" applyFont="1" applyFill="1" applyAlignment="1"/>
    <xf numFmtId="0" fontId="67" fillId="33" borderId="0" xfId="2" applyNumberFormat="1" applyFont="1" applyFill="1" applyAlignment="1">
      <alignment horizontal="left"/>
    </xf>
    <xf numFmtId="37" fontId="43" fillId="33" borderId="0" xfId="2" applyNumberFormat="1" applyFont="1" applyFill="1" applyAlignment="1"/>
    <xf numFmtId="37" fontId="43"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3" fillId="0" borderId="0" xfId="2" applyNumberFormat="1" applyFont="1" applyFill="1" applyBorder="1" applyAlignment="1"/>
    <xf numFmtId="37" fontId="43" fillId="0" borderId="0" xfId="2" applyNumberFormat="1" applyFont="1" applyFill="1" applyAlignment="1"/>
    <xf numFmtId="0" fontId="62" fillId="0" borderId="0" xfId="2" applyNumberFormat="1" applyFont="1" applyAlignment="1"/>
    <xf numFmtId="0" fontId="41" fillId="0" borderId="0" xfId="2" applyNumberFormat="1" applyFont="1" applyAlignment="1"/>
    <xf numFmtId="37" fontId="45" fillId="0" borderId="0" xfId="2" applyNumberFormat="1" applyFont="1" applyBorder="1" applyAlignment="1"/>
    <xf numFmtId="37" fontId="45" fillId="0" borderId="0" xfId="2" applyNumberFormat="1" applyFont="1" applyAlignment="1"/>
    <xf numFmtId="37" fontId="45" fillId="0" borderId="0" xfId="2" applyNumberFormat="1" applyFont="1" applyAlignment="1">
      <alignment horizontal="center"/>
    </xf>
    <xf numFmtId="37" fontId="45" fillId="0" borderId="0" xfId="2" quotePrefix="1" applyNumberFormat="1" applyFont="1" applyAlignment="1">
      <alignment horizontal="center"/>
    </xf>
    <xf numFmtId="3" fontId="43" fillId="0" borderId="0" xfId="2" applyNumberFormat="1" applyFont="1" applyAlignment="1"/>
    <xf numFmtId="37" fontId="43" fillId="0" borderId="0" xfId="2" applyNumberFormat="1" applyFont="1" applyBorder="1" applyAlignment="1"/>
    <xf numFmtId="37" fontId="43" fillId="0" borderId="20" xfId="2" applyNumberFormat="1" applyFont="1" applyBorder="1" applyAlignment="1"/>
    <xf numFmtId="37" fontId="40" fillId="0" borderId="0" xfId="2" applyNumberFormat="1" applyFont="1" applyBorder="1" applyAlignment="1"/>
    <xf numFmtId="37" fontId="40" fillId="0" borderId="0" xfId="2" applyNumberFormat="1" applyFont="1" applyAlignment="1"/>
    <xf numFmtId="37" fontId="40" fillId="0" borderId="0" xfId="2" applyNumberFormat="1" applyFont="1" applyAlignment="1">
      <alignment horizontal="right"/>
    </xf>
    <xf numFmtId="5" fontId="40" fillId="0" borderId="0" xfId="2" applyNumberFormat="1" applyFont="1" applyAlignment="1"/>
    <xf numFmtId="0" fontId="40" fillId="0" borderId="0" xfId="2" applyNumberFormat="1" applyFont="1" applyAlignment="1">
      <alignment horizontal="left"/>
    </xf>
    <xf numFmtId="174" fontId="40" fillId="0" borderId="0" xfId="2" applyNumberFormat="1" applyFont="1" applyAlignment="1">
      <alignment horizontal="right"/>
    </xf>
    <xf numFmtId="37" fontId="40" fillId="0" borderId="0" xfId="2" quotePrefix="1" applyNumberFormat="1" applyFont="1" applyAlignment="1">
      <alignment horizontal="center"/>
    </xf>
    <xf numFmtId="166" fontId="40" fillId="0" borderId="0" xfId="2" applyNumberFormat="1" applyFont="1" applyAlignment="1"/>
    <xf numFmtId="166" fontId="45" fillId="0" borderId="0" xfId="2" applyNumberFormat="1" applyFont="1" applyBorder="1" applyAlignment="1"/>
    <xf numFmtId="166" fontId="0" fillId="0" borderId="0" xfId="2" applyNumberFormat="1" applyFont="1"/>
    <xf numFmtId="166" fontId="40" fillId="0" borderId="20" xfId="2" applyNumberFormat="1" applyFont="1" applyBorder="1" applyAlignment="1"/>
    <xf numFmtId="166" fontId="40" fillId="0" borderId="0" xfId="2" applyNumberFormat="1" applyFont="1" applyAlignment="1">
      <alignment horizontal="right"/>
    </xf>
    <xf numFmtId="170" fontId="40" fillId="0" borderId="0" xfId="2" quotePrefix="1" applyNumberFormat="1" applyFont="1" applyAlignment="1">
      <alignment horizontal="center"/>
    </xf>
    <xf numFmtId="166" fontId="40" fillId="0" borderId="0" xfId="2" quotePrefix="1" applyNumberFormat="1" applyFont="1" applyAlignment="1">
      <alignment horizontal="center"/>
    </xf>
    <xf numFmtId="166" fontId="40" fillId="0" borderId="0" xfId="2" applyNumberFormat="1" applyFont="1" applyBorder="1" applyAlignment="1">
      <alignment horizontal="right"/>
    </xf>
    <xf numFmtId="0" fontId="45" fillId="0" borderId="0" xfId="2" applyNumberFormat="1" applyFont="1" applyAlignment="1">
      <alignment horizontal="left"/>
    </xf>
    <xf numFmtId="37" fontId="45" fillId="0" borderId="0" xfId="2" applyNumberFormat="1" applyFont="1" applyBorder="1" applyAlignment="1">
      <alignment horizontal="right"/>
    </xf>
    <xf numFmtId="37" fontId="45" fillId="0" borderId="0" xfId="2" applyNumberFormat="1" applyFont="1" applyAlignment="1">
      <alignment horizontal="right"/>
    </xf>
    <xf numFmtId="37" fontId="40" fillId="0" borderId="0" xfId="2" applyNumberFormat="1" applyFont="1" applyBorder="1"/>
    <xf numFmtId="37" fontId="40" fillId="0" borderId="0" xfId="2" applyNumberFormat="1" applyFont="1"/>
    <xf numFmtId="166" fontId="40" fillId="0" borderId="0" xfId="2" applyNumberFormat="1" applyFont="1" applyBorder="1"/>
    <xf numFmtId="3" fontId="40" fillId="0" borderId="0" xfId="2" applyNumberFormat="1" applyFont="1" applyAlignment="1"/>
    <xf numFmtId="3" fontId="45" fillId="0" borderId="0" xfId="2" applyNumberFormat="1" applyFont="1" applyAlignment="1">
      <alignment horizontal="right"/>
    </xf>
    <xf numFmtId="174" fontId="45" fillId="0" borderId="0" xfId="2" applyNumberFormat="1" applyFont="1" applyAlignment="1">
      <alignment horizontal="right"/>
    </xf>
    <xf numFmtId="169" fontId="45"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5" fillId="0" borderId="0" xfId="2" applyNumberFormat="1" applyFont="1" applyBorder="1" applyAlignment="1">
      <alignment horizontal="centerContinuous"/>
    </xf>
    <xf numFmtId="37" fontId="45" fillId="0" borderId="0" xfId="2" applyNumberFormat="1" applyFont="1" applyBorder="1" applyAlignment="1">
      <alignment horizontal="left"/>
    </xf>
    <xf numFmtId="0" fontId="45" fillId="0" borderId="0" xfId="2" applyFont="1" applyFill="1" applyBorder="1" applyAlignment="1">
      <alignment horizontal="center"/>
    </xf>
    <xf numFmtId="0" fontId="75" fillId="0" borderId="0" xfId="2" applyFont="1" applyFill="1" applyBorder="1" applyAlignment="1">
      <alignment horizontal="center"/>
    </xf>
    <xf numFmtId="37" fontId="45" fillId="0" borderId="0" xfId="2" applyNumberFormat="1" applyFont="1" applyFill="1" applyAlignment="1"/>
    <xf numFmtId="37" fontId="45" fillId="0" borderId="0" xfId="2" applyNumberFormat="1" applyFont="1" applyFill="1" applyAlignment="1">
      <alignment horizontal="center"/>
    </xf>
    <xf numFmtId="37" fontId="45" fillId="0" borderId="0" xfId="2" quotePrefix="1" applyNumberFormat="1" applyFont="1" applyBorder="1" applyAlignment="1">
      <alignment horizontal="center"/>
    </xf>
    <xf numFmtId="37" fontId="45"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50" fillId="0" borderId="0" xfId="2" applyFont="1"/>
    <xf numFmtId="37" fontId="45" fillId="0" borderId="0" xfId="2" applyNumberFormat="1" applyFont="1" applyFill="1" applyBorder="1" applyAlignment="1">
      <alignment horizontal="centerContinuous"/>
    </xf>
    <xf numFmtId="0" fontId="45" fillId="0" borderId="0" xfId="2" applyFont="1" applyBorder="1" applyAlignment="1">
      <alignment horizontal="center"/>
    </xf>
    <xf numFmtId="166" fontId="45" fillId="0" borderId="0" xfId="2" applyNumberFormat="1" applyFont="1" applyAlignment="1"/>
    <xf numFmtId="165" fontId="66" fillId="0" borderId="0" xfId="2" applyNumberFormat="1" applyFont="1" applyAlignment="1"/>
    <xf numFmtId="165" fontId="45" fillId="0" borderId="0" xfId="2" applyNumberFormat="1" applyFont="1" applyAlignment="1"/>
    <xf numFmtId="165" fontId="45" fillId="0" borderId="0" xfId="2" applyNumberFormat="1" applyFont="1" applyBorder="1" applyAlignment="1"/>
    <xf numFmtId="165" fontId="40" fillId="0" borderId="0" xfId="2" applyNumberFormat="1" applyFont="1" applyAlignment="1">
      <alignment horizontal="center"/>
    </xf>
    <xf numFmtId="165" fontId="40"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5" fillId="0" borderId="20" xfId="2" applyNumberFormat="1" applyFont="1" applyBorder="1" applyAlignment="1"/>
    <xf numFmtId="170" fontId="45" fillId="0" borderId="13" xfId="2" applyNumberFormat="1" applyFont="1" applyBorder="1" applyAlignment="1"/>
    <xf numFmtId="165" fontId="76" fillId="0" borderId="0" xfId="2" applyNumberFormat="1" applyFont="1" applyAlignment="1"/>
    <xf numFmtId="174" fontId="45" fillId="0" borderId="13" xfId="2" applyNumberFormat="1" applyFont="1" applyBorder="1" applyAlignment="1"/>
    <xf numFmtId="174" fontId="45" fillId="0" borderId="0" xfId="2" applyNumberFormat="1" applyFont="1" applyBorder="1" applyAlignment="1"/>
    <xf numFmtId="165" fontId="40"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3" fillId="0" borderId="0" xfId="2" applyNumberFormat="1" applyFont="1"/>
    <xf numFmtId="165" fontId="43"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40" fillId="0" borderId="21" xfId="2" applyNumberFormat="1" applyFont="1" applyBorder="1" applyAlignment="1"/>
    <xf numFmtId="166" fontId="45" fillId="0" borderId="13" xfId="2" applyNumberFormat="1" applyFont="1" applyBorder="1" applyAlignment="1"/>
    <xf numFmtId="0" fontId="45" fillId="0" borderId="0" xfId="2" applyNumberFormat="1" applyFont="1" applyBorder="1" applyAlignment="1"/>
    <xf numFmtId="166" fontId="45" fillId="0" borderId="0" xfId="2" applyNumberFormat="1" applyFont="1" applyFill="1" applyAlignment="1"/>
    <xf numFmtId="3" fontId="40" fillId="0" borderId="0" xfId="2" applyNumberFormat="1" applyFont="1" applyAlignment="1">
      <alignment vertical="center"/>
    </xf>
    <xf numFmtId="3" fontId="40" fillId="0" borderId="0" xfId="2" applyNumberFormat="1" applyFont="1" applyAlignment="1">
      <alignment horizontal="left" vertical="center"/>
    </xf>
    <xf numFmtId="170" fontId="45" fillId="0" borderId="45" xfId="2" applyNumberFormat="1" applyFont="1" applyBorder="1" applyAlignment="1"/>
    <xf numFmtId="0" fontId="45" fillId="0" borderId="21" xfId="2" applyNumberFormat="1" applyFont="1" applyBorder="1" applyAlignment="1"/>
    <xf numFmtId="166" fontId="40" fillId="0" borderId="13" xfId="2" applyNumberFormat="1" applyFont="1" applyBorder="1" applyAlignment="1"/>
    <xf numFmtId="0" fontId="45" fillId="0" borderId="0" xfId="2" applyNumberFormat="1" applyFont="1" applyFill="1" applyAlignment="1">
      <alignment horizontal="left"/>
    </xf>
    <xf numFmtId="174" fontId="45" fillId="0" borderId="17" xfId="2" applyNumberFormat="1" applyFont="1" applyFill="1" applyBorder="1" applyAlignment="1"/>
    <xf numFmtId="169" fontId="45" fillId="0" borderId="0" xfId="2" applyNumberFormat="1" applyFont="1" applyFill="1" applyBorder="1" applyAlignment="1"/>
    <xf numFmtId="164" fontId="40" fillId="0" borderId="0" xfId="2" applyNumberFormat="1" applyFont="1" applyAlignment="1"/>
    <xf numFmtId="0" fontId="43" fillId="0" borderId="0" xfId="2" applyNumberFormat="1" applyFont="1" applyAlignment="1"/>
    <xf numFmtId="0" fontId="76" fillId="0" borderId="0" xfId="2" applyNumberFormat="1" applyFont="1" applyAlignment="1"/>
    <xf numFmtId="174" fontId="45" fillId="0" borderId="17" xfId="2" applyNumberFormat="1" applyFont="1" applyBorder="1" applyAlignment="1"/>
    <xf numFmtId="168" fontId="40" fillId="0" borderId="0" xfId="2" applyNumberFormat="1" applyFont="1" applyAlignment="1"/>
    <xf numFmtId="0" fontId="39" fillId="0" borderId="0" xfId="2" applyNumberFormat="1" applyFont="1" applyAlignment="1">
      <alignment horizontal="right"/>
    </xf>
    <xf numFmtId="165" fontId="40" fillId="0" borderId="20" xfId="2" applyNumberFormat="1" applyFont="1" applyBorder="1"/>
    <xf numFmtId="165" fontId="40" fillId="0" borderId="15" xfId="2" applyNumberFormat="1" applyFont="1" applyBorder="1" applyAlignment="1"/>
    <xf numFmtId="174" fontId="45" fillId="0" borderId="47" xfId="2" applyNumberFormat="1" applyFont="1" applyBorder="1" applyAlignment="1"/>
    <xf numFmtId="164" fontId="45" fillId="0" borderId="0" xfId="2" applyNumberFormat="1" applyFont="1" applyAlignment="1"/>
    <xf numFmtId="165" fontId="40" fillId="0" borderId="47" xfId="2" applyNumberFormat="1" applyFont="1" applyBorder="1" applyAlignment="1"/>
    <xf numFmtId="170" fontId="40" fillId="0" borderId="47" xfId="2" applyNumberFormat="1" applyFont="1" applyBorder="1" applyAlignment="1"/>
    <xf numFmtId="170" fontId="40" fillId="0" borderId="0" xfId="2" quotePrefix="1" applyNumberFormat="1" applyFont="1" applyAlignment="1">
      <alignment horizontal="right"/>
    </xf>
    <xf numFmtId="170" fontId="40" fillId="0" borderId="0" xfId="2" quotePrefix="1" applyNumberFormat="1" applyFont="1" applyAlignment="1"/>
    <xf numFmtId="170" fontId="64" fillId="0" borderId="0" xfId="2" applyNumberFormat="1" applyFont="1" applyFill="1" applyAlignment="1"/>
    <xf numFmtId="170" fontId="40" fillId="0" borderId="47" xfId="2" applyNumberFormat="1" applyFont="1" applyBorder="1" applyAlignment="1">
      <alignment horizontal="center"/>
    </xf>
    <xf numFmtId="165" fontId="40" fillId="0" borderId="0" xfId="2" applyNumberFormat="1" applyFont="1" applyAlignment="1">
      <alignment horizontal="left"/>
    </xf>
    <xf numFmtId="170" fontId="40" fillId="0" borderId="10" xfId="2" applyNumberFormat="1" applyFont="1" applyBorder="1" applyAlignment="1">
      <alignment horizontal="right"/>
    </xf>
    <xf numFmtId="170" fontId="45" fillId="0" borderId="47" xfId="2" applyNumberFormat="1" applyFont="1" applyBorder="1" applyAlignment="1"/>
    <xf numFmtId="170" fontId="45" fillId="0" borderId="10" xfId="2" applyNumberFormat="1" applyFont="1" applyBorder="1" applyAlignment="1">
      <alignment horizontal="right"/>
    </xf>
    <xf numFmtId="166" fontId="45" fillId="0" borderId="0" xfId="2" applyNumberFormat="1" applyFont="1" applyBorder="1" applyAlignment="1">
      <alignment horizontal="right"/>
    </xf>
    <xf numFmtId="164" fontId="45" fillId="0" borderId="16" xfId="2" applyNumberFormat="1" applyFont="1" applyBorder="1" applyAlignment="1"/>
    <xf numFmtId="164" fontId="45" fillId="0" borderId="17" xfId="2" applyNumberFormat="1" applyFont="1" applyBorder="1" applyAlignment="1"/>
    <xf numFmtId="168" fontId="40" fillId="0" borderId="0" xfId="2" applyNumberFormat="1" applyFont="1" applyBorder="1" applyAlignment="1"/>
    <xf numFmtId="0" fontId="0" fillId="0" borderId="0" xfId="2" applyFont="1" applyBorder="1" applyAlignment="1"/>
    <xf numFmtId="168" fontId="41" fillId="0" borderId="0" xfId="2" applyNumberFormat="1" applyFont="1" applyAlignment="1"/>
    <xf numFmtId="0" fontId="39" fillId="0" borderId="0" xfId="2" applyNumberFormat="1" applyFont="1" applyAlignment="1">
      <alignment horizontal="left"/>
    </xf>
    <xf numFmtId="165" fontId="40" fillId="0" borderId="18" xfId="2" applyNumberFormat="1" applyFont="1" applyBorder="1" applyAlignment="1"/>
    <xf numFmtId="165" fontId="40" fillId="0" borderId="0" xfId="2" applyNumberFormat="1" applyFont="1" applyAlignment="1">
      <alignment horizontal="right"/>
    </xf>
    <xf numFmtId="166" fontId="40" fillId="0" borderId="47" xfId="2" applyNumberFormat="1" applyFont="1" applyBorder="1" applyAlignment="1">
      <alignment horizontal="center"/>
    </xf>
    <xf numFmtId="170" fontId="45" fillId="0" borderId="40" xfId="2" applyNumberFormat="1" applyFont="1" applyBorder="1" applyAlignment="1"/>
    <xf numFmtId="168" fontId="43"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40" fillId="0" borderId="0" xfId="2" applyNumberFormat="1" applyFont="1" applyAlignment="1">
      <alignment horizontal="right"/>
    </xf>
    <xf numFmtId="164" fontId="45" fillId="0" borderId="10" xfId="2" applyNumberFormat="1" applyFont="1" applyBorder="1"/>
    <xf numFmtId="0" fontId="43" fillId="0" borderId="0" xfId="4" applyFont="1" applyFill="1"/>
    <xf numFmtId="0" fontId="67" fillId="0" borderId="0" xfId="4" applyFont="1" applyFill="1"/>
    <xf numFmtId="0" fontId="40" fillId="0" borderId="0" xfId="4" applyFont="1" applyFill="1"/>
    <xf numFmtId="166" fontId="40" fillId="0" borderId="0" xfId="4" applyNumberFormat="1" applyFont="1" applyFill="1"/>
    <xf numFmtId="0" fontId="40" fillId="0" borderId="0" xfId="4" applyNumberFormat="1" applyFont="1" applyFill="1" applyBorder="1" applyAlignment="1">
      <alignment horizontal="center"/>
    </xf>
    <xf numFmtId="0" fontId="40" fillId="0" borderId="0" xfId="4" applyFont="1" applyFill="1" applyBorder="1"/>
    <xf numFmtId="174" fontId="45" fillId="0" borderId="0" xfId="4" applyNumberFormat="1" applyFont="1" applyFill="1"/>
    <xf numFmtId="0" fontId="45" fillId="0" borderId="0" xfId="4" applyFont="1" applyFill="1" applyBorder="1"/>
    <xf numFmtId="166" fontId="40" fillId="0" borderId="15" xfId="4" applyNumberFormat="1" applyFont="1" applyFill="1" applyBorder="1"/>
    <xf numFmtId="166" fontId="40" fillId="0" borderId="0" xfId="4" applyNumberFormat="1" applyFont="1" applyFill="1" applyBorder="1"/>
    <xf numFmtId="0" fontId="45" fillId="0" borderId="0" xfId="4" applyFont="1" applyFill="1"/>
    <xf numFmtId="170" fontId="40" fillId="0" borderId="0" xfId="4" applyNumberFormat="1" applyFont="1" applyFill="1" applyBorder="1"/>
    <xf numFmtId="170" fontId="45" fillId="0" borderId="10" xfId="4" applyNumberFormat="1" applyFont="1" applyFill="1" applyBorder="1"/>
    <xf numFmtId="170" fontId="45"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5" fillId="0" borderId="15" xfId="2" applyNumberFormat="1" applyFont="1" applyBorder="1" applyAlignment="1"/>
    <xf numFmtId="0" fontId="0" fillId="0" borderId="0" xfId="2" applyFont="1" applyBorder="1"/>
    <xf numFmtId="174" fontId="45" fillId="0" borderId="0" xfId="2" quotePrefix="1" applyNumberFormat="1" applyFont="1" applyAlignment="1"/>
    <xf numFmtId="174" fontId="45" fillId="0" borderId="15" xfId="2" applyNumberFormat="1" applyFont="1" applyBorder="1" applyAlignment="1"/>
    <xf numFmtId="174" fontId="45" fillId="0" borderId="0" xfId="2" applyNumberFormat="1" applyFont="1" applyBorder="1"/>
    <xf numFmtId="164" fontId="45" fillId="0" borderId="0" xfId="2" applyNumberFormat="1" applyFont="1" applyBorder="1"/>
    <xf numFmtId="0" fontId="45"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5" fillId="0" borderId="15" xfId="2" applyNumberFormat="1" applyFont="1" applyBorder="1" applyAlignment="1">
      <alignment horizontal="right"/>
    </xf>
    <xf numFmtId="166" fontId="0" fillId="0" borderId="0" xfId="2" applyNumberFormat="1" applyFont="1" applyBorder="1"/>
    <xf numFmtId="170" fontId="45"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5" fillId="0" borderId="0" xfId="2" applyNumberFormat="1" applyFont="1"/>
    <xf numFmtId="172" fontId="0" fillId="0" borderId="0" xfId="2" applyNumberFormat="1" applyFont="1" applyBorder="1"/>
    <xf numFmtId="170" fontId="40" fillId="0" borderId="0" xfId="2" applyNumberFormat="1" applyFont="1" applyBorder="1"/>
    <xf numFmtId="0" fontId="45" fillId="0" borderId="0" xfId="2" applyFont="1" applyBorder="1"/>
    <xf numFmtId="170" fontId="45" fillId="0" borderId="15" xfId="2" applyNumberFormat="1" applyFont="1" applyBorder="1" applyAlignment="1">
      <alignment horizontal="center"/>
    </xf>
    <xf numFmtId="170" fontId="40" fillId="0" borderId="0" xfId="2" applyNumberFormat="1" applyFont="1" applyAlignment="1">
      <alignment horizontal="right" vertical="center"/>
    </xf>
    <xf numFmtId="170" fontId="40" fillId="0" borderId="21" xfId="2" applyNumberFormat="1" applyFont="1" applyBorder="1" applyAlignment="1">
      <alignment horizontal="right" vertical="center"/>
    </xf>
    <xf numFmtId="170" fontId="45" fillId="0" borderId="15" xfId="2" applyNumberFormat="1" applyFont="1" applyBorder="1"/>
    <xf numFmtId="170" fontId="45" fillId="0" borderId="0" xfId="2" applyNumberFormat="1" applyFont="1" applyBorder="1"/>
    <xf numFmtId="170" fontId="45" fillId="0" borderId="10" xfId="1" applyNumberFormat="1" applyFont="1" applyBorder="1" applyAlignment="1"/>
    <xf numFmtId="172" fontId="45" fillId="0" borderId="10" xfId="2" applyNumberFormat="1" applyFont="1" applyBorder="1"/>
    <xf numFmtId="7" fontId="45" fillId="0" borderId="0" xfId="2" applyNumberFormat="1" applyFont="1"/>
    <xf numFmtId="169" fontId="40"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6" fontId="83" fillId="0" borderId="0" xfId="2" quotePrefix="1" applyNumberFormat="1" applyFont="1" applyAlignment="1">
      <alignment horizontal="left"/>
    </xf>
    <xf numFmtId="170" fontId="0" fillId="0" borderId="0" xfId="2" applyNumberFormat="1" applyFont="1"/>
    <xf numFmtId="166" fontId="40" fillId="0" borderId="0" xfId="2" quotePrefix="1" applyNumberFormat="1" applyFont="1" applyAlignment="1">
      <alignment horizontal="left"/>
    </xf>
    <xf numFmtId="170" fontId="40" fillId="0" borderId="0" xfId="2" quotePrefix="1" applyNumberFormat="1" applyFont="1" applyFill="1" applyAlignment="1">
      <alignment horizontal="center"/>
    </xf>
    <xf numFmtId="170" fontId="0" fillId="0" borderId="0" xfId="2" applyNumberFormat="1" applyFont="1" applyFill="1" applyBorder="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5"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3" fillId="0" borderId="0" xfId="11" applyNumberFormat="1" applyFont="1" applyFill="1" applyBorder="1"/>
    <xf numFmtId="182" fontId="44" fillId="0" borderId="0" xfId="11" applyNumberFormat="1" applyFont="1" applyFill="1" applyBorder="1"/>
    <xf numFmtId="0" fontId="0" fillId="0" borderId="0" xfId="17" applyNumberFormat="1" applyFont="1"/>
    <xf numFmtId="0" fontId="45" fillId="0" borderId="0" xfId="17" applyNumberFormat="1" applyFont="1" applyAlignment="1" applyProtection="1">
      <alignment horizontal="center"/>
      <protection locked="0"/>
    </xf>
    <xf numFmtId="0" fontId="45" fillId="0" borderId="0" xfId="17" applyNumberFormat="1" applyFont="1" applyAlignment="1">
      <alignment horizontal="center"/>
    </xf>
    <xf numFmtId="49" fontId="45" fillId="0" borderId="0" xfId="17" applyNumberFormat="1" applyFont="1" applyAlignment="1">
      <alignment horizontal="center"/>
    </xf>
    <xf numFmtId="0" fontId="71" fillId="0" borderId="0" xfId="17" applyNumberFormat="1" applyFont="1" applyAlignment="1"/>
    <xf numFmtId="174" fontId="45"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3" fillId="0" borderId="0" xfId="11" applyNumberFormat="1" applyFont="1" applyAlignment="1"/>
    <xf numFmtId="0" fontId="39" fillId="0" borderId="0" xfId="739" quotePrefix="1" applyNumberFormat="1" applyFont="1" applyAlignment="1">
      <alignment horizontal="left"/>
    </xf>
    <xf numFmtId="0" fontId="45"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5" fillId="0" borderId="0" xfId="2" applyNumberFormat="1" applyFont="1" applyAlignment="1"/>
    <xf numFmtId="177" fontId="45" fillId="0" borderId="0" xfId="740" quotePrefix="1" applyNumberFormat="1" applyFont="1" applyFill="1" applyAlignment="1">
      <alignment horizontal="left"/>
    </xf>
    <xf numFmtId="177" fontId="45" fillId="0" borderId="16" xfId="740" applyNumberFormat="1" applyFont="1" applyFill="1" applyBorder="1" applyAlignment="1">
      <alignment horizontal="right"/>
    </xf>
    <xf numFmtId="177" fontId="45"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5" fillId="0" borderId="0" xfId="740" applyNumberFormat="1" applyFont="1" applyFill="1" applyAlignment="1"/>
    <xf numFmtId="177" fontId="45" fillId="0" borderId="16" xfId="740" applyNumberFormat="1" applyFont="1" applyFill="1" applyBorder="1" applyAlignment="1"/>
    <xf numFmtId="177" fontId="45" fillId="0" borderId="0" xfId="740" applyNumberFormat="1" applyFont="1" applyFill="1" applyBorder="1" applyAlignment="1"/>
    <xf numFmtId="177" fontId="45" fillId="0" borderId="0" xfId="740" applyNumberFormat="1" applyFont="1" applyFill="1" applyAlignment="1">
      <alignment horizontal="right"/>
    </xf>
    <xf numFmtId="180" fontId="45" fillId="0" borderId="17" xfId="740" applyNumberFormat="1" applyFont="1" applyFill="1" applyBorder="1" applyAlignment="1"/>
    <xf numFmtId="181" fontId="45" fillId="0" borderId="0" xfId="740" applyNumberFormat="1" applyFont="1" applyFill="1" applyAlignment="1">
      <alignment horizontal="right"/>
    </xf>
    <xf numFmtId="183" fontId="45"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5" fillId="0" borderId="0" xfId="836" applyNumberFormat="1" applyFont="1" applyFill="1" applyAlignment="1"/>
    <xf numFmtId="173" fontId="40"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5"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40"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40" fillId="0" borderId="0" xfId="836" applyNumberFormat="1" applyFont="1" applyFill="1" applyAlignment="1"/>
    <xf numFmtId="181" fontId="45" fillId="0" borderId="0" xfId="836" applyNumberFormat="1" applyFont="1" applyFill="1" applyAlignment="1"/>
    <xf numFmtId="0" fontId="103" fillId="0" borderId="0" xfId="836" applyNumberFormat="1" applyFont="1" applyFill="1" applyBorder="1" applyAlignment="1"/>
    <xf numFmtId="173" fontId="45" fillId="0" borderId="0" xfId="836" applyNumberFormat="1" applyFont="1" applyFill="1" applyAlignment="1"/>
    <xf numFmtId="173" fontId="67" fillId="0" borderId="0" xfId="836" applyNumberFormat="1" applyFont="1" applyFill="1" applyAlignment="1"/>
    <xf numFmtId="181" fontId="40"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3" fillId="0" borderId="0" xfId="840" applyNumberFormat="1" applyFont="1" applyAlignment="1"/>
    <xf numFmtId="165" fontId="109" fillId="0" borderId="0" xfId="840" applyNumberFormat="1" applyFont="1" applyAlignment="1">
      <alignment horizontal="right"/>
    </xf>
    <xf numFmtId="39" fontId="43" fillId="0" borderId="0" xfId="840" applyNumberFormat="1" applyFont="1" applyAlignment="1"/>
    <xf numFmtId="40" fontId="43" fillId="0" borderId="0" xfId="840" applyNumberFormat="1" applyFont="1" applyAlignment="1"/>
    <xf numFmtId="165" fontId="66" fillId="0" borderId="0" xfId="840" applyNumberFormat="1" applyFont="1" applyAlignment="1"/>
    <xf numFmtId="5" fontId="45" fillId="0" borderId="0" xfId="840" applyNumberFormat="1" applyFont="1" applyAlignment="1"/>
    <xf numFmtId="40" fontId="45"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5" fillId="0" borderId="0" xfId="840" quotePrefix="1" applyNumberFormat="1" applyFont="1" applyBorder="1" applyAlignment="1">
      <alignment horizontal="left"/>
    </xf>
    <xf numFmtId="40" fontId="45" fillId="0" borderId="0" xfId="840" applyNumberFormat="1" applyFont="1" applyBorder="1" applyAlignment="1">
      <alignment horizontal="left"/>
    </xf>
    <xf numFmtId="39" fontId="45" fillId="0" borderId="0" xfId="840" quotePrefix="1" applyNumberFormat="1" applyFont="1" applyAlignment="1">
      <alignment horizontal="center"/>
    </xf>
    <xf numFmtId="40" fontId="45" fillId="0" borderId="0" xfId="840" applyNumberFormat="1" applyFont="1" applyAlignment="1">
      <alignment horizontal="center"/>
    </xf>
    <xf numFmtId="40" fontId="45" fillId="0" borderId="0" xfId="840" applyNumberFormat="1" applyFont="1" applyBorder="1" applyAlignment="1">
      <alignment horizontal="center"/>
    </xf>
    <xf numFmtId="39" fontId="45" fillId="0" borderId="0" xfId="840" applyNumberFormat="1" applyFont="1" applyAlignment="1">
      <alignment horizontal="center"/>
    </xf>
    <xf numFmtId="39" fontId="45" fillId="0" borderId="0" xfId="840" applyNumberFormat="1" applyFont="1" applyBorder="1" applyAlignment="1">
      <alignment horizontal="center"/>
    </xf>
    <xf numFmtId="37" fontId="45" fillId="0" borderId="0" xfId="840" applyNumberFormat="1" applyFont="1" applyFill="1" applyBorder="1" applyAlignment="1"/>
    <xf numFmtId="186" fontId="45" fillId="0" borderId="0" xfId="840" quotePrefix="1" applyNumberFormat="1" applyFont="1" applyBorder="1" applyAlignment="1">
      <alignment horizontal="center"/>
    </xf>
    <xf numFmtId="165" fontId="66" fillId="0" borderId="0" xfId="840" applyNumberFormat="1" applyFont="1" applyBorder="1" applyAlignment="1"/>
    <xf numFmtId="42" fontId="45" fillId="0" borderId="0" xfId="840" applyNumberFormat="1" applyFont="1" applyAlignment="1"/>
    <xf numFmtId="42" fontId="45" fillId="0" borderId="0" xfId="840" applyNumberFormat="1" applyFont="1" applyBorder="1" applyAlignment="1"/>
    <xf numFmtId="42" fontId="45" fillId="0" borderId="0" xfId="840" applyNumberFormat="1" applyFont="1" applyFill="1" applyBorder="1" applyAlignment="1"/>
    <xf numFmtId="37" fontId="45" fillId="0" borderId="0" xfId="840" applyNumberFormat="1" applyFont="1" applyAlignment="1"/>
    <xf numFmtId="165" fontId="76" fillId="0" borderId="0" xfId="840" applyNumberFormat="1" applyFont="1" applyAlignment="1"/>
    <xf numFmtId="0" fontId="45" fillId="0" borderId="0" xfId="840" applyNumberFormat="1" applyFont="1" applyAlignment="1"/>
    <xf numFmtId="41" fontId="45" fillId="0" borderId="0" xfId="840" applyNumberFormat="1" applyFont="1" applyBorder="1" applyAlignment="1"/>
    <xf numFmtId="41" fontId="45" fillId="0" borderId="0" xfId="840" applyNumberFormat="1" applyFont="1" applyAlignment="1"/>
    <xf numFmtId="41" fontId="45" fillId="0" borderId="16" xfId="840" applyNumberFormat="1" applyFont="1" applyFill="1" applyBorder="1" applyAlignment="1"/>
    <xf numFmtId="41" fontId="45" fillId="0" borderId="0" xfId="840" applyNumberFormat="1" applyFont="1" applyFill="1" applyBorder="1" applyAlignment="1"/>
    <xf numFmtId="0" fontId="45" fillId="0" borderId="0" xfId="840" applyNumberFormat="1" applyFont="1" applyFill="1" applyAlignment="1"/>
    <xf numFmtId="0" fontId="45" fillId="0" borderId="0" xfId="840" applyNumberFormat="1" applyFont="1" applyFill="1" applyAlignment="1">
      <alignment horizontal="left"/>
    </xf>
    <xf numFmtId="37" fontId="45" fillId="0" borderId="0" xfId="840" applyNumberFormat="1" applyFont="1" applyFill="1" applyAlignment="1"/>
    <xf numFmtId="42" fontId="45" fillId="0" borderId="0" xfId="840" applyNumberFormat="1" applyFont="1" applyFill="1" applyAlignment="1"/>
    <xf numFmtId="0" fontId="43"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66" fontId="60" fillId="0" borderId="0" xfId="2" quotePrefix="1" applyNumberFormat="1" applyFont="1" applyAlignment="1">
      <alignment horizontal="left"/>
    </xf>
    <xf numFmtId="170" fontId="59"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5"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7" fillId="0" borderId="0" xfId="2" applyNumberFormat="1" applyFont="1" applyFill="1" applyAlignment="1"/>
    <xf numFmtId="43" fontId="43" fillId="0" borderId="0" xfId="5" applyFont="1" applyFill="1" applyBorder="1" applyAlignment="1">
      <alignment horizontal="right"/>
    </xf>
    <xf numFmtId="0" fontId="82" fillId="0" borderId="0" xfId="8" applyFont="1" applyAlignment="1"/>
    <xf numFmtId="0" fontId="138" fillId="0" borderId="0" xfId="8" applyFont="1" applyAlignment="1"/>
    <xf numFmtId="0" fontId="114" fillId="0" borderId="0" xfId="8" applyFont="1" applyAlignment="1"/>
    <xf numFmtId="0" fontId="50" fillId="0" borderId="0" xfId="8" applyFont="1" applyAlignment="1"/>
    <xf numFmtId="0" fontId="50" fillId="0" borderId="0" xfId="8" applyFont="1" applyAlignment="1">
      <alignment horizontal="left"/>
    </xf>
    <xf numFmtId="0" fontId="50" fillId="0" borderId="0" xfId="8" applyFont="1" applyAlignment="1">
      <alignment horizontal="right" indent="15"/>
    </xf>
    <xf numFmtId="0" fontId="114" fillId="0" borderId="0" xfId="8" applyFont="1" applyAlignment="1">
      <alignment horizontal="right"/>
    </xf>
    <xf numFmtId="0" fontId="43" fillId="0" borderId="0" xfId="8" applyFont="1" applyAlignment="1">
      <alignment horizontal="center"/>
    </xf>
    <xf numFmtId="0" fontId="50" fillId="0" borderId="0" xfId="8" applyFont="1" applyAlignment="1">
      <alignment horizontal="center"/>
    </xf>
    <xf numFmtId="0" fontId="50" fillId="0" borderId="0" xfId="8" applyFont="1" applyAlignment="1">
      <alignment horizontal="right"/>
    </xf>
    <xf numFmtId="0" fontId="114" fillId="0" borderId="0" xfId="8" quotePrefix="1" applyFont="1" applyAlignment="1">
      <alignment horizontal="right"/>
    </xf>
    <xf numFmtId="165" fontId="50" fillId="0" borderId="0" xfId="8" applyNumberFormat="1" applyFont="1" applyAlignment="1">
      <alignment horizontal="right"/>
    </xf>
    <xf numFmtId="0" fontId="140" fillId="0" borderId="0" xfId="8" applyFont="1"/>
    <xf numFmtId="0" fontId="114" fillId="0" borderId="0" xfId="8" applyFont="1" applyAlignment="1">
      <alignment horizontal="center"/>
    </xf>
    <xf numFmtId="188" fontId="50" fillId="0" borderId="0" xfId="8" quotePrefix="1" applyNumberFormat="1" applyFont="1"/>
    <xf numFmtId="3" fontId="50" fillId="0" borderId="0" xfId="8" quotePrefix="1" applyNumberFormat="1" applyFont="1"/>
    <xf numFmtId="3" fontId="50" fillId="0" borderId="0" xfId="8" quotePrefix="1" applyNumberFormat="1" applyFont="1" applyAlignment="1">
      <alignment horizontal="center"/>
    </xf>
    <xf numFmtId="0" fontId="50" fillId="0" borderId="0" xfId="8" applyFont="1" applyFill="1"/>
    <xf numFmtId="188" fontId="50" fillId="0" borderId="0" xfId="8" applyNumberFormat="1" applyFont="1" applyAlignment="1"/>
    <xf numFmtId="3" fontId="50" fillId="0" borderId="0" xfId="8" applyNumberFormat="1" applyFont="1"/>
    <xf numFmtId="188" fontId="50" fillId="0" borderId="0" xfId="8" applyNumberFormat="1" applyFont="1" applyBorder="1"/>
    <xf numFmtId="0" fontId="138" fillId="0" borderId="0" xfId="8" applyFont="1" applyAlignment="1">
      <alignment horizontal="center"/>
    </xf>
    <xf numFmtId="0" fontId="50" fillId="0" borderId="0" xfId="8" applyFont="1" applyBorder="1"/>
    <xf numFmtId="191" fontId="50" fillId="0" borderId="0" xfId="8" applyNumberFormat="1" applyFont="1" applyBorder="1"/>
    <xf numFmtId="6" fontId="50" fillId="0" borderId="0" xfId="8" applyNumberFormat="1" applyFont="1" applyAlignment="1"/>
    <xf numFmtId="175" fontId="50" fillId="0" borderId="0" xfId="8" quotePrefix="1" applyNumberFormat="1" applyFont="1" applyAlignment="1">
      <alignment horizontal="right"/>
    </xf>
    <xf numFmtId="192" fontId="50" fillId="0" borderId="0" xfId="8" applyNumberFormat="1" applyFont="1"/>
    <xf numFmtId="175" fontId="50" fillId="0" borderId="0" xfId="8" quotePrefix="1" applyNumberFormat="1" applyFont="1" applyBorder="1" applyAlignment="1"/>
    <xf numFmtId="0" fontId="44" fillId="0" borderId="0" xfId="860" applyNumberFormat="1" applyFont="1" applyAlignment="1">
      <alignment horizontal="centerContinuous"/>
    </xf>
    <xf numFmtId="37" fontId="44" fillId="0" borderId="0" xfId="860" applyNumberFormat="1" applyFont="1" applyAlignment="1">
      <alignment horizontal="centerContinuous"/>
    </xf>
    <xf numFmtId="0" fontId="44" fillId="0" borderId="0" xfId="860" applyNumberFormat="1" applyFont="1" applyAlignment="1"/>
    <xf numFmtId="0" fontId="43" fillId="0" borderId="0" xfId="860" applyNumberFormat="1" applyFont="1" applyAlignment="1">
      <alignment horizontal="centerContinuous"/>
    </xf>
    <xf numFmtId="37" fontId="67" fillId="0" borderId="0" xfId="860" applyNumberFormat="1" applyFont="1" applyAlignment="1">
      <alignment horizontal="centerContinuous"/>
    </xf>
    <xf numFmtId="0" fontId="43" fillId="0" borderId="0" xfId="860" applyNumberFormat="1" applyFont="1" applyAlignment="1"/>
    <xf numFmtId="0" fontId="44" fillId="0" borderId="67" xfId="860" applyNumberFormat="1" applyFont="1" applyBorder="1" applyAlignment="1">
      <alignment horizontal="centerContinuous"/>
    </xf>
    <xf numFmtId="0" fontId="43" fillId="0" borderId="36" xfId="860" applyNumberFormat="1" applyFont="1" applyBorder="1" applyAlignment="1">
      <alignment horizontal="centerContinuous"/>
    </xf>
    <xf numFmtId="37" fontId="67" fillId="0" borderId="68" xfId="860" applyNumberFormat="1" applyFont="1" applyBorder="1" applyAlignment="1"/>
    <xf numFmtId="0" fontId="44" fillId="0" borderId="36" xfId="860" applyNumberFormat="1" applyFont="1" applyBorder="1" applyAlignment="1"/>
    <xf numFmtId="0" fontId="43" fillId="0" borderId="36" xfId="860" applyNumberFormat="1" applyFont="1" applyBorder="1"/>
    <xf numFmtId="37" fontId="67" fillId="0" borderId="0" xfId="860" applyNumberFormat="1" applyFont="1" applyAlignment="1"/>
    <xf numFmtId="37" fontId="43" fillId="0" borderId="0" xfId="860" applyNumberFormat="1" applyFont="1" applyAlignment="1"/>
    <xf numFmtId="37" fontId="41" fillId="0" borderId="0" xfId="860" applyNumberFormat="1" applyFont="1" applyAlignment="1"/>
    <xf numFmtId="0" fontId="43" fillId="0" borderId="66" xfId="860" applyNumberFormat="1" applyFont="1" applyBorder="1" applyAlignment="1"/>
    <xf numFmtId="0" fontId="141" fillId="0" borderId="0" xfId="860" applyNumberFormat="1" applyFont="1" applyAlignment="1"/>
    <xf numFmtId="37" fontId="43" fillId="0" borderId="0" xfId="860" applyNumberFormat="1" applyFont="1" applyAlignment="1">
      <alignment horizontal="left"/>
    </xf>
    <xf numFmtId="0" fontId="43" fillId="0" borderId="16" xfId="860" applyNumberFormat="1" applyFont="1" applyBorder="1" applyAlignment="1"/>
    <xf numFmtId="0" fontId="141" fillId="0" borderId="16" xfId="860" applyNumberFormat="1" applyFont="1" applyBorder="1" applyAlignment="1"/>
    <xf numFmtId="0" fontId="41" fillId="0" borderId="0" xfId="860" applyNumberFormat="1" applyFont="1" applyAlignment="1"/>
    <xf numFmtId="0" fontId="111" fillId="0" borderId="0" xfId="860" applyNumberFormat="1" applyFont="1" applyAlignment="1"/>
    <xf numFmtId="0" fontId="43" fillId="0" borderId="20" xfId="860" applyNumberFormat="1" applyFont="1" applyBorder="1" applyAlignment="1"/>
    <xf numFmtId="0" fontId="43" fillId="0" borderId="40" xfId="860" applyNumberFormat="1" applyFont="1" applyBorder="1" applyAlignment="1"/>
    <xf numFmtId="165" fontId="43" fillId="0" borderId="0" xfId="860" applyNumberFormat="1" applyFont="1" applyAlignment="1">
      <alignment horizontal="left"/>
    </xf>
    <xf numFmtId="0" fontId="43" fillId="0" borderId="0" xfId="860" applyNumberFormat="1" applyFont="1" applyBorder="1" applyAlignment="1"/>
    <xf numFmtId="0" fontId="44" fillId="0" borderId="0" xfId="860" applyNumberFormat="1" applyFont="1" applyBorder="1" applyAlignment="1"/>
    <xf numFmtId="0" fontId="142" fillId="0" borderId="0" xfId="860" applyFont="1" applyBorder="1" applyAlignment="1">
      <alignment vertical="top" wrapText="1"/>
    </xf>
    <xf numFmtId="0" fontId="43" fillId="0" borderId="16" xfId="860" applyNumberFormat="1" applyFont="1" applyBorder="1" applyAlignment="1">
      <alignment horizontal="left"/>
    </xf>
    <xf numFmtId="0" fontId="84" fillId="0" borderId="0" xfId="860" applyNumberFormat="1" applyFont="1" applyAlignment="1"/>
    <xf numFmtId="0" fontId="141" fillId="0" borderId="0" xfId="860" applyNumberFormat="1" applyFont="1" applyBorder="1" applyAlignment="1"/>
    <xf numFmtId="0" fontId="84" fillId="0" borderId="0" xfId="860" applyNumberFormat="1" applyFont="1" applyBorder="1" applyAlignment="1"/>
    <xf numFmtId="0" fontId="43" fillId="0" borderId="0" xfId="860" applyNumberFormat="1" applyFont="1" applyAlignment="1">
      <alignment horizontal="left"/>
    </xf>
    <xf numFmtId="0" fontId="43" fillId="0" borderId="0" xfId="860" applyNumberFormat="1" applyFont="1" applyBorder="1" applyAlignment="1">
      <alignment horizontal="left"/>
    </xf>
    <xf numFmtId="170" fontId="38" fillId="0" borderId="0" xfId="0" applyNumberFormat="1" applyFont="1" applyAlignment="1"/>
    <xf numFmtId="166" fontId="38" fillId="0" borderId="0" xfId="0" applyNumberFormat="1" applyFont="1" applyAlignment="1" applyProtection="1">
      <protection locked="0"/>
    </xf>
    <xf numFmtId="166" fontId="38" fillId="0" borderId="0" xfId="0" applyNumberFormat="1" applyFont="1" applyBorder="1" applyAlignment="1" applyProtection="1"/>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70" fontId="38" fillId="0" borderId="0" xfId="0" applyNumberFormat="1" applyFont="1" applyAlignment="1" applyProtection="1">
      <alignment horizontal="center"/>
    </xf>
    <xf numFmtId="170" fontId="38" fillId="0" borderId="0" xfId="0" applyNumberFormat="1" applyFont="1" applyFill="1" applyAlignment="1" applyProtection="1"/>
    <xf numFmtId="37" fontId="38" fillId="0" borderId="0" xfId="2" applyNumberFormat="1" applyFont="1" applyBorder="1"/>
    <xf numFmtId="49" fontId="38" fillId="0" borderId="0" xfId="17" applyNumberFormat="1" applyFont="1" applyBorder="1" applyAlignment="1">
      <alignment horizontal="center"/>
    </xf>
    <xf numFmtId="0" fontId="67" fillId="0" borderId="0" xfId="0" applyNumberFormat="1" applyFont="1" applyFill="1"/>
    <xf numFmtId="0" fontId="43" fillId="0" borderId="0" xfId="0" applyNumberFormat="1" applyFont="1" applyFill="1"/>
    <xf numFmtId="0" fontId="43" fillId="0" borderId="0" xfId="0" applyNumberFormat="1" applyFont="1" applyFill="1" applyAlignment="1">
      <alignment horizontal="right"/>
    </xf>
    <xf numFmtId="0" fontId="44" fillId="0" borderId="0" xfId="0" applyNumberFormat="1" applyFont="1" applyFill="1"/>
    <xf numFmtId="7" fontId="43" fillId="0" borderId="0" xfId="0" applyNumberFormat="1" applyFont="1" applyFill="1"/>
    <xf numFmtId="39" fontId="43" fillId="0" borderId="0" xfId="0" applyNumberFormat="1" applyFont="1" applyFill="1"/>
    <xf numFmtId="39" fontId="43" fillId="0" borderId="0" xfId="0" applyNumberFormat="1" applyFont="1" applyFill="1" applyAlignment="1">
      <alignment horizontal="center"/>
    </xf>
    <xf numFmtId="39" fontId="43" fillId="0" borderId="0" xfId="0" applyNumberFormat="1" applyFont="1" applyFill="1" applyAlignment="1">
      <alignment horizontal="right"/>
    </xf>
    <xf numFmtId="43" fontId="43" fillId="0" borderId="0" xfId="0" applyNumberFormat="1" applyFont="1" applyFill="1" applyAlignment="1">
      <alignment horizontal="center"/>
    </xf>
    <xf numFmtId="0" fontId="44" fillId="0" borderId="0" xfId="0" applyNumberFormat="1" applyFont="1" applyFill="1" applyBorder="1"/>
    <xf numFmtId="39" fontId="44" fillId="0" borderId="0" xfId="0" applyNumberFormat="1" applyFont="1" applyFill="1" applyBorder="1"/>
    <xf numFmtId="0" fontId="43" fillId="0" borderId="0" xfId="0" applyNumberFormat="1" applyFont="1" applyFill="1" applyBorder="1"/>
    <xf numFmtId="39" fontId="43" fillId="0" borderId="0" xfId="0" quotePrefix="1" applyNumberFormat="1" applyFont="1" applyFill="1" applyAlignment="1">
      <alignment horizontal="center"/>
    </xf>
    <xf numFmtId="39" fontId="44" fillId="0" borderId="0" xfId="0" applyNumberFormat="1" applyFont="1" applyFill="1" applyBorder="1" applyAlignment="1">
      <alignment horizontal="right"/>
    </xf>
    <xf numFmtId="0" fontId="43" fillId="0" borderId="0" xfId="0" applyNumberFormat="1" applyFont="1" applyFill="1" applyBorder="1" applyAlignment="1">
      <alignment horizontal="right"/>
    </xf>
    <xf numFmtId="187" fontId="43" fillId="0" borderId="0" xfId="0" applyNumberFormat="1" applyFont="1" applyFill="1"/>
    <xf numFmtId="0" fontId="43" fillId="0" borderId="0" xfId="0" applyNumberFormat="1" applyFont="1" applyFill="1" applyAlignment="1"/>
    <xf numFmtId="0" fontId="43" fillId="0" borderId="0" xfId="0" applyNumberFormat="1" applyFont="1" applyFill="1" applyAlignment="1">
      <alignment horizontal="left" vertical="top"/>
    </xf>
    <xf numFmtId="177" fontId="38" fillId="0" borderId="0" xfId="740" applyNumberFormat="1" applyFont="1" applyFill="1" applyAlignment="1">
      <alignment horizontal="center"/>
    </xf>
    <xf numFmtId="170" fontId="38" fillId="0" borderId="0" xfId="2" applyNumberFormat="1" applyFont="1" applyAlignment="1"/>
    <xf numFmtId="165" fontId="38" fillId="0" borderId="0" xfId="0" applyNumberFormat="1" applyFont="1" applyAlignment="1" applyProtection="1">
      <protection locked="0"/>
    </xf>
    <xf numFmtId="164" fontId="38" fillId="0" borderId="0" xfId="0" applyFont="1"/>
    <xf numFmtId="164" fontId="38" fillId="0" borderId="0" xfId="0" applyFont="1" applyAlignment="1"/>
    <xf numFmtId="164" fontId="38" fillId="0" borderId="0" xfId="0" applyFont="1" applyAlignment="1">
      <alignment horizontal="center"/>
    </xf>
    <xf numFmtId="164" fontId="96" fillId="0" borderId="0" xfId="0" applyFont="1"/>
    <xf numFmtId="166" fontId="38" fillId="0" borderId="0" xfId="2" applyNumberFormat="1" applyFont="1" applyFill="1" applyBorder="1" applyAlignment="1"/>
    <xf numFmtId="0" fontId="38" fillId="0" borderId="0" xfId="17" applyNumberFormat="1" applyFont="1" applyAlignment="1">
      <alignment horizontal="left"/>
    </xf>
    <xf numFmtId="164" fontId="67" fillId="0" borderId="0" xfId="0" applyFont="1"/>
    <xf numFmtId="0" fontId="146" fillId="0" borderId="0" xfId="860" applyNumberFormat="1" applyFont="1" applyAlignment="1"/>
    <xf numFmtId="37" fontId="43" fillId="34" borderId="0" xfId="860" applyNumberFormat="1" applyFont="1" applyFill="1" applyAlignment="1">
      <alignment horizontal="left"/>
    </xf>
    <xf numFmtId="0" fontId="44" fillId="34" borderId="0" xfId="860" applyNumberFormat="1" applyFont="1" applyFill="1" applyAlignment="1"/>
    <xf numFmtId="0" fontId="44" fillId="34" borderId="0" xfId="860" applyNumberFormat="1" applyFont="1" applyFill="1" applyBorder="1" applyAlignment="1"/>
    <xf numFmtId="174" fontId="40" fillId="0" borderId="0" xfId="0" applyNumberFormat="1" applyFont="1" applyAlignment="1" applyProtection="1"/>
    <xf numFmtId="37" fontId="38" fillId="0" borderId="0" xfId="2" applyNumberFormat="1" applyFont="1" applyAlignment="1"/>
    <xf numFmtId="174" fontId="38" fillId="0" borderId="0" xfId="2" applyNumberFormat="1" applyFont="1" applyAlignment="1"/>
    <xf numFmtId="170" fontId="38" fillId="0" borderId="0" xfId="2" quotePrefix="1" applyNumberFormat="1" applyFont="1" applyAlignment="1">
      <alignment horizontal="center"/>
    </xf>
    <xf numFmtId="174" fontId="38" fillId="0" borderId="0" xfId="2" applyNumberFormat="1" applyFont="1" applyAlignment="1">
      <alignment horizontal="right"/>
    </xf>
    <xf numFmtId="174" fontId="38" fillId="0" borderId="0" xfId="2" quotePrefix="1" applyNumberFormat="1" applyFont="1" applyAlignment="1">
      <alignment horizontal="center"/>
    </xf>
    <xf numFmtId="187" fontId="98" fillId="0" borderId="0" xfId="8" applyNumberFormat="1" applyFont="1"/>
    <xf numFmtId="0" fontId="38" fillId="0" borderId="0" xfId="17" quotePrefix="1" applyNumberFormat="1" applyFont="1" applyAlignment="1">
      <alignment horizontal="left"/>
    </xf>
    <xf numFmtId="164" fontId="62" fillId="0" borderId="0" xfId="0" applyFont="1"/>
    <xf numFmtId="164" fontId="45" fillId="0" borderId="0" xfId="0" applyFont="1"/>
    <xf numFmtId="0" fontId="139" fillId="0" borderId="0" xfId="8" applyFont="1" applyFill="1" applyAlignment="1">
      <alignment horizontal="left"/>
    </xf>
    <xf numFmtId="166" fontId="38" fillId="0" borderId="0" xfId="2" applyNumberFormat="1" applyFont="1" applyBorder="1" applyAlignment="1"/>
    <xf numFmtId="164" fontId="38" fillId="0" borderId="0" xfId="2" applyNumberFormat="1" applyFont="1" applyBorder="1" applyAlignment="1"/>
    <xf numFmtId="170" fontId="38" fillId="0" borderId="0" xfId="2" applyNumberFormat="1" applyFont="1" applyBorder="1"/>
    <xf numFmtId="165" fontId="38" fillId="0" borderId="0" xfId="0" applyNumberFormat="1" applyFont="1" applyAlignment="1"/>
    <xf numFmtId="165" fontId="45" fillId="0" borderId="0" xfId="0" applyNumberFormat="1" applyFont="1" applyAlignment="1"/>
    <xf numFmtId="174" fontId="38" fillId="0" borderId="0" xfId="0" quotePrefix="1" applyNumberFormat="1" applyFont="1" applyAlignment="1" applyProtection="1">
      <alignment horizontal="left"/>
    </xf>
    <xf numFmtId="170" fontId="45" fillId="0" borderId="20" xfId="0" applyNumberFormat="1" applyFont="1" applyBorder="1" applyAlignment="1"/>
    <xf numFmtId="165" fontId="38" fillId="0" borderId="0" xfId="0" quotePrefix="1" applyNumberFormat="1" applyFont="1" applyAlignment="1">
      <alignment horizontal="center"/>
    </xf>
    <xf numFmtId="170" fontId="40" fillId="0" borderId="0" xfId="2" quotePrefix="1" applyNumberFormat="1" applyFont="1" applyFill="1" applyAlignment="1">
      <alignment horizontal="right"/>
    </xf>
    <xf numFmtId="170" fontId="45" fillId="0" borderId="45" xfId="2" applyNumberFormat="1" applyFont="1" applyFill="1" applyBorder="1" applyAlignment="1"/>
    <xf numFmtId="170" fontId="40" fillId="0" borderId="21" xfId="2" applyNumberFormat="1" applyFont="1" applyFill="1" applyBorder="1" applyAlignment="1"/>
    <xf numFmtId="170" fontId="45" fillId="0" borderId="21" xfId="2" applyNumberFormat="1" applyFont="1" applyFill="1" applyBorder="1" applyAlignment="1"/>
    <xf numFmtId="170" fontId="40" fillId="0" borderId="0" xfId="2" applyNumberFormat="1" applyFont="1"/>
    <xf numFmtId="170" fontId="38" fillId="0" borderId="0" xfId="2" applyNumberFormat="1" applyFont="1" applyAlignment="1">
      <alignment horizontal="right"/>
    </xf>
    <xf numFmtId="177" fontId="101" fillId="0" borderId="0" xfId="740" applyNumberFormat="1" applyFont="1" applyFill="1"/>
    <xf numFmtId="170" fontId="38" fillId="0" borderId="0" xfId="2" applyNumberFormat="1" applyFont="1" applyFill="1" applyAlignment="1">
      <alignment horizontal="right"/>
    </xf>
    <xf numFmtId="170" fontId="38" fillId="0" borderId="0" xfId="2" quotePrefix="1" applyNumberFormat="1" applyFont="1" applyFill="1" applyAlignment="1">
      <alignment horizontal="right"/>
    </xf>
    <xf numFmtId="170" fontId="38" fillId="0" borderId="0" xfId="2" quotePrefix="1" applyNumberFormat="1" applyFont="1" applyAlignment="1">
      <alignment horizontal="right"/>
    </xf>
    <xf numFmtId="170" fontId="38" fillId="0" borderId="0" xfId="2" quotePrefix="1" applyNumberFormat="1" applyFont="1" applyAlignment="1"/>
    <xf numFmtId="170" fontId="38" fillId="0" borderId="20" xfId="2" applyNumberFormat="1" applyFont="1" applyBorder="1" applyAlignment="1"/>
    <xf numFmtId="174" fontId="130" fillId="0" borderId="0" xfId="2" applyNumberFormat="1" applyFont="1" applyBorder="1"/>
    <xf numFmtId="0" fontId="38" fillId="0" borderId="0" xfId="2" applyNumberFormat="1" applyFont="1" applyAlignment="1"/>
    <xf numFmtId="0" fontId="38"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3" fillId="0" borderId="0" xfId="836" quotePrefix="1" applyNumberFormat="1" applyFont="1" applyFill="1" applyAlignment="1">
      <alignment horizontal="left"/>
    </xf>
    <xf numFmtId="173" fontId="79" fillId="0" borderId="0" xfId="836" applyNumberFormat="1" applyFont="1" applyFill="1"/>
    <xf numFmtId="0" fontId="38" fillId="0" borderId="0" xfId="17" applyNumberFormat="1" applyFont="1" applyFill="1" applyAlignment="1">
      <alignment readingOrder="1"/>
    </xf>
    <xf numFmtId="0" fontId="38" fillId="0" borderId="0" xfId="17" applyNumberFormat="1" applyFont="1" applyFill="1" applyAlignment="1"/>
    <xf numFmtId="0" fontId="38" fillId="0" borderId="0" xfId="17" applyNumberFormat="1" applyFont="1" applyFill="1" applyAlignment="1" applyProtection="1">
      <alignment readingOrder="1"/>
      <protection locked="0"/>
    </xf>
    <xf numFmtId="0" fontId="38" fillId="0" borderId="0" xfId="17" applyNumberFormat="1" applyFont="1" applyFill="1" applyAlignment="1" applyProtection="1">
      <protection locked="0"/>
    </xf>
    <xf numFmtId="0" fontId="45" fillId="0" borderId="0" xfId="17" applyNumberFormat="1" applyFont="1" applyAlignment="1" applyProtection="1">
      <protection locked="0"/>
    </xf>
    <xf numFmtId="39" fontId="43" fillId="0" borderId="0" xfId="0" applyNumberFormat="1" applyFont="1" applyFill="1" applyAlignment="1"/>
    <xf numFmtId="39"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3" fillId="0" borderId="0" xfId="0" quotePrefix="1" applyNumberFormat="1" applyFont="1" applyFill="1" applyAlignment="1"/>
    <xf numFmtId="0" fontId="43" fillId="0" borderId="0" xfId="0" applyNumberFormat="1" applyFont="1" applyFill="1" applyAlignment="1">
      <alignment horizontal="center" vertical="top"/>
    </xf>
    <xf numFmtId="177" fontId="38" fillId="0" borderId="0" xfId="740" applyNumberFormat="1" applyFont="1" applyFill="1" applyBorder="1" applyAlignment="1">
      <alignment horizontal="right"/>
    </xf>
    <xf numFmtId="177" fontId="38" fillId="0" borderId="0" xfId="740" applyNumberFormat="1" applyFont="1" applyFill="1" applyAlignment="1"/>
    <xf numFmtId="177" fontId="38" fillId="0" borderId="0" xfId="740" quotePrefix="1" applyNumberFormat="1" applyFont="1" applyFill="1" applyAlignment="1">
      <alignment horizontal="left"/>
    </xf>
    <xf numFmtId="177" fontId="38" fillId="0" borderId="0" xfId="740" applyNumberFormat="1" applyFont="1" applyFill="1" applyBorder="1" applyAlignment="1"/>
    <xf numFmtId="177" fontId="38"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8" fillId="0" borderId="0" xfId="740" applyNumberFormat="1" applyFont="1" applyFill="1" applyBorder="1" applyAlignment="1"/>
    <xf numFmtId="181" fontId="38" fillId="0" borderId="0" xfId="740" applyNumberFormat="1" applyFont="1" applyFill="1" applyAlignment="1"/>
    <xf numFmtId="0" fontId="38" fillId="0" borderId="0" xfId="740" quotePrefix="1" applyNumberFormat="1" applyFont="1" applyFill="1" applyAlignment="1">
      <alignment horizontal="left"/>
    </xf>
    <xf numFmtId="182" fontId="38" fillId="0" borderId="0" xfId="741" applyNumberFormat="1" applyFont="1" applyFill="1" applyBorder="1" applyAlignment="1"/>
    <xf numFmtId="0" fontId="45" fillId="0" borderId="0" xfId="2" quotePrefix="1" applyNumberFormat="1" applyFont="1" applyBorder="1" applyAlignment="1">
      <alignment horizontal="center"/>
    </xf>
    <xf numFmtId="0" fontId="45" fillId="0" borderId="0" xfId="2" applyNumberFormat="1" applyFont="1" applyAlignment="1">
      <alignment horizontal="center"/>
    </xf>
    <xf numFmtId="17" fontId="45" fillId="0" borderId="0" xfId="2" quotePrefix="1" applyNumberFormat="1" applyFont="1" applyAlignment="1">
      <alignment horizontal="center"/>
    </xf>
    <xf numFmtId="15" fontId="45" fillId="0" borderId="0" xfId="2" quotePrefix="1" applyNumberFormat="1" applyFont="1" applyAlignment="1">
      <alignment horizontal="center"/>
    </xf>
    <xf numFmtId="0" fontId="45" fillId="0" borderId="0" xfId="2" applyNumberFormat="1" applyFont="1" applyFill="1" applyAlignment="1">
      <alignment horizontal="center"/>
    </xf>
    <xf numFmtId="0" fontId="45" fillId="0" borderId="0" xfId="2" quotePrefix="1" applyNumberFormat="1" applyFont="1" applyFill="1" applyAlignment="1">
      <alignment horizontal="center"/>
    </xf>
    <xf numFmtId="165" fontId="45" fillId="0" borderId="0" xfId="2" applyNumberFormat="1" applyFont="1" applyFill="1" applyAlignment="1"/>
    <xf numFmtId="17" fontId="45" fillId="0" borderId="0" xfId="2" applyNumberFormat="1" applyFont="1" applyFill="1" applyAlignment="1">
      <alignment horizontal="center"/>
    </xf>
    <xf numFmtId="15" fontId="45" fillId="0" borderId="0" xfId="2" applyNumberFormat="1" applyFont="1" applyFill="1" applyAlignment="1">
      <alignment horizontal="center"/>
    </xf>
    <xf numFmtId="166" fontId="59" fillId="0" borderId="0" xfId="2" applyNumberFormat="1" applyFont="1" applyAlignment="1">
      <alignment horizontal="center"/>
    </xf>
    <xf numFmtId="0" fontId="45" fillId="0" borderId="0" xfId="2" quotePrefix="1" applyNumberFormat="1" applyFont="1" applyAlignment="1">
      <alignment horizontal="center"/>
    </xf>
    <xf numFmtId="165" fontId="45" fillId="0" borderId="0" xfId="2" quotePrefix="1" applyNumberFormat="1" applyFont="1" applyAlignment="1">
      <alignment horizontal="center"/>
    </xf>
    <xf numFmtId="166" fontId="45" fillId="0" borderId="0" xfId="2" applyNumberFormat="1" applyFont="1" applyBorder="1" applyAlignment="1">
      <alignment horizontal="center"/>
    </xf>
    <xf numFmtId="165" fontId="45" fillId="0" borderId="0" xfId="2" applyNumberFormat="1" applyFont="1" applyBorder="1" applyAlignment="1">
      <alignment horizontal="center"/>
    </xf>
    <xf numFmtId="165" fontId="45" fillId="0" borderId="0" xfId="2" applyNumberFormat="1" applyFont="1" applyAlignment="1">
      <alignment horizontal="center"/>
    </xf>
    <xf numFmtId="166" fontId="45" fillId="0" borderId="10" xfId="2" applyNumberFormat="1" applyFont="1" applyBorder="1" applyAlignment="1">
      <alignment horizontal="center"/>
    </xf>
    <xf numFmtId="166" fontId="45" fillId="0" borderId="10" xfId="2" quotePrefix="1" applyNumberFormat="1" applyFont="1" applyBorder="1" applyAlignment="1">
      <alignment horizontal="center"/>
    </xf>
    <xf numFmtId="165" fontId="44" fillId="0" borderId="0" xfId="2" applyNumberFormat="1" applyFont="1" applyAlignment="1"/>
    <xf numFmtId="0" fontId="45" fillId="0" borderId="0" xfId="2" applyNumberFormat="1" applyFont="1" applyBorder="1" applyAlignment="1">
      <alignment horizontal="center"/>
    </xf>
    <xf numFmtId="165" fontId="45"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5" fillId="0" borderId="10" xfId="2" applyNumberFormat="1" applyFont="1" applyFill="1" applyBorder="1" applyAlignment="1">
      <alignment horizontal="center"/>
    </xf>
    <xf numFmtId="0" fontId="45" fillId="0" borderId="0" xfId="2" applyNumberFormat="1" applyFont="1" applyFill="1" applyBorder="1" applyAlignment="1">
      <alignment horizontal="center"/>
    </xf>
    <xf numFmtId="0" fontId="160" fillId="0" borderId="0" xfId="2" applyFont="1"/>
    <xf numFmtId="166" fontId="81" fillId="0" borderId="0" xfId="2" applyNumberFormat="1" applyFont="1" applyAlignment="1"/>
    <xf numFmtId="166" fontId="80" fillId="0" borderId="0" xfId="2" applyNumberFormat="1" applyFont="1" applyAlignment="1">
      <alignment horizontal="center"/>
    </xf>
    <xf numFmtId="164" fontId="45"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4" fillId="0" borderId="0" xfId="860" applyNumberFormat="1" applyFont="1" applyAlignment="1">
      <alignment horizontal="right"/>
    </xf>
    <xf numFmtId="177" fontId="43" fillId="0" borderId="0" xfId="740" applyNumberFormat="1" applyFont="1" applyFill="1" applyAlignment="1"/>
    <xf numFmtId="39" fontId="44" fillId="0" borderId="0" xfId="0" applyNumberFormat="1" applyFont="1" applyFill="1" applyAlignment="1">
      <alignment horizontal="right"/>
    </xf>
    <xf numFmtId="39" fontId="43" fillId="0" borderId="0" xfId="0" quotePrefix="1" applyNumberFormat="1" applyFont="1" applyFill="1" applyAlignment="1"/>
    <xf numFmtId="0" fontId="38" fillId="0" borderId="0" xfId="0" applyNumberFormat="1" applyFont="1" applyFill="1"/>
    <xf numFmtId="39" fontId="44" fillId="0" borderId="0" xfId="0" applyNumberFormat="1" applyFont="1" applyFill="1"/>
    <xf numFmtId="0" fontId="43" fillId="0" borderId="0" xfId="0" applyNumberFormat="1" applyFont="1" applyFill="1" applyBorder="1" applyAlignment="1"/>
    <xf numFmtId="39" fontId="43" fillId="0" borderId="0" xfId="0" applyNumberFormat="1" applyFont="1" applyFill="1" applyBorder="1"/>
    <xf numFmtId="39" fontId="43" fillId="0" borderId="0" xfId="0" applyNumberFormat="1" applyFont="1" applyFill="1" applyBorder="1" applyAlignment="1">
      <alignment horizontal="center"/>
    </xf>
    <xf numFmtId="39" fontId="43" fillId="0" borderId="0" xfId="0" applyNumberFormat="1" applyFont="1" applyFill="1" applyBorder="1" applyAlignment="1">
      <alignment horizontal="right"/>
    </xf>
    <xf numFmtId="39" fontId="43" fillId="0" borderId="0" xfId="0" quotePrefix="1" applyNumberFormat="1" applyFont="1" applyFill="1" applyBorder="1" applyAlignment="1">
      <alignment horizontal="center"/>
    </xf>
    <xf numFmtId="39" fontId="44" fillId="0" borderId="0" xfId="0" applyNumberFormat="1" applyFont="1" applyFill="1" applyBorder="1" applyAlignment="1">
      <alignment horizontal="center" vertical="top"/>
    </xf>
    <xf numFmtId="164" fontId="43" fillId="0" borderId="0" xfId="2" applyNumberFormat="1" applyFont="1" applyAlignment="1"/>
    <xf numFmtId="164" fontId="39" fillId="0" borderId="0" xfId="2" applyNumberFormat="1" applyFont="1" applyAlignment="1">
      <alignment horizontal="right"/>
    </xf>
    <xf numFmtId="164" fontId="41" fillId="0" borderId="0" xfId="2" applyNumberFormat="1" applyFont="1" applyAlignment="1"/>
    <xf numFmtId="164" fontId="45" fillId="0" borderId="0" xfId="2" applyNumberFormat="1" applyFont="1" applyAlignment="1">
      <alignment horizontal="center"/>
    </xf>
    <xf numFmtId="164" fontId="45" fillId="0" borderId="10" xfId="2" applyNumberFormat="1" applyFont="1" applyBorder="1" applyAlignment="1">
      <alignment horizontal="center"/>
    </xf>
    <xf numFmtId="180" fontId="38" fillId="0" borderId="0" xfId="740" applyNumberFormat="1" applyFont="1" applyFill="1" applyAlignment="1">
      <alignment horizontal="center"/>
    </xf>
    <xf numFmtId="43" fontId="38" fillId="0" borderId="0" xfId="0" applyNumberFormat="1" applyFont="1" applyFill="1" applyBorder="1" applyAlignment="1" applyProtection="1"/>
    <xf numFmtId="42" fontId="38" fillId="0" borderId="0" xfId="0" applyNumberFormat="1" applyFont="1" applyBorder="1" applyAlignment="1"/>
    <xf numFmtId="42" fontId="38" fillId="0" borderId="0" xfId="0" applyNumberFormat="1" applyFont="1" applyBorder="1" applyAlignment="1" applyProtection="1">
      <protection locked="0"/>
    </xf>
    <xf numFmtId="41" fontId="38" fillId="0" borderId="0" xfId="0" quotePrefix="1" applyNumberFormat="1" applyFont="1" applyBorder="1" applyAlignment="1">
      <alignment horizontal="right"/>
    </xf>
    <xf numFmtId="41" fontId="38" fillId="0" borderId="0" xfId="0" applyNumberFormat="1" applyFont="1" applyBorder="1" applyAlignment="1"/>
    <xf numFmtId="41" fontId="38" fillId="0" borderId="0" xfId="0" applyNumberFormat="1" applyFont="1" applyBorder="1" applyAlignment="1" applyProtection="1">
      <protection locked="0"/>
    </xf>
    <xf numFmtId="41" fontId="38" fillId="0" borderId="0" xfId="0" quotePrefix="1" applyNumberFormat="1" applyFont="1" applyBorder="1" applyAlignment="1">
      <alignment horizontal="center"/>
    </xf>
    <xf numFmtId="41" fontId="38" fillId="0" borderId="0" xfId="0" quotePrefix="1" applyNumberFormat="1" applyFont="1" applyBorder="1" applyAlignment="1"/>
    <xf numFmtId="41" fontId="38" fillId="0" borderId="0" xfId="0" applyNumberFormat="1" applyFont="1" applyBorder="1" applyAlignment="1">
      <alignment horizontal="center"/>
    </xf>
    <xf numFmtId="41" fontId="38" fillId="0" borderId="0" xfId="0" applyNumberFormat="1" applyFont="1" applyBorder="1" applyAlignment="1">
      <alignment horizontal="right"/>
    </xf>
    <xf numFmtId="41" fontId="38" fillId="0" borderId="0" xfId="0" applyNumberFormat="1" applyFont="1" applyBorder="1" applyAlignment="1" applyProtection="1">
      <alignment horizontal="right"/>
      <protection locked="0"/>
    </xf>
    <xf numFmtId="174" fontId="45" fillId="0" borderId="48" xfId="2" applyNumberFormat="1" applyFont="1" applyFill="1" applyBorder="1" applyAlignment="1">
      <alignment horizontal="right"/>
    </xf>
    <xf numFmtId="174" fontId="45" fillId="0" borderId="72" xfId="2" applyNumberFormat="1" applyFont="1" applyFill="1" applyBorder="1" applyAlignment="1"/>
    <xf numFmtId="0" fontId="67" fillId="0" borderId="0" xfId="836" quotePrefix="1" applyNumberFormat="1" applyFont="1" applyFill="1" applyAlignment="1"/>
    <xf numFmtId="43" fontId="43" fillId="0" borderId="0" xfId="0" applyNumberFormat="1" applyFont="1" applyFill="1"/>
    <xf numFmtId="43" fontId="43" fillId="0" borderId="0" xfId="0" applyNumberFormat="1" applyFont="1" applyFill="1" applyAlignment="1"/>
    <xf numFmtId="190" fontId="162" fillId="0" borderId="0" xfId="11" applyNumberFormat="1" applyFont="1" applyAlignment="1">
      <alignment horizontal="right"/>
    </xf>
    <xf numFmtId="0" fontId="38" fillId="0" borderId="0" xfId="17" applyNumberFormat="1" applyFont="1" applyAlignment="1"/>
    <xf numFmtId="43" fontId="38" fillId="0" borderId="0" xfId="1028" applyNumberFormat="1" applyFont="1" applyBorder="1" applyAlignment="1" applyProtection="1">
      <alignment horizontal="right"/>
    </xf>
    <xf numFmtId="164" fontId="38" fillId="0" borderId="0" xfId="0" applyFont="1" applyProtection="1"/>
    <xf numFmtId="4" fontId="45"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8"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5" fillId="0" borderId="0" xfId="840" applyNumberFormat="1" applyFont="1" applyAlignment="1">
      <alignment horizontal="left"/>
    </xf>
    <xf numFmtId="0" fontId="38" fillId="0" borderId="0" xfId="840" applyNumberFormat="1" applyFont="1" applyFill="1" applyAlignment="1">
      <alignment horizontal="left"/>
    </xf>
    <xf numFmtId="0" fontId="38" fillId="0" borderId="0" xfId="2" applyNumberFormat="1" applyFont="1" applyAlignment="1">
      <alignment horizontal="left"/>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8" fillId="0" borderId="0" xfId="2" applyNumberFormat="1" applyFont="1" applyAlignment="1" applyProtection="1">
      <protection locked="0"/>
    </xf>
    <xf numFmtId="165" fontId="38" fillId="0" borderId="0" xfId="2" applyNumberFormat="1" applyFont="1" applyFill="1" applyAlignment="1" applyProtection="1">
      <protection locked="0"/>
    </xf>
    <xf numFmtId="165" fontId="38" fillId="0" borderId="0" xfId="2" applyNumberFormat="1" applyFont="1" applyProtection="1">
      <protection locked="0"/>
    </xf>
    <xf numFmtId="165" fontId="38" fillId="0" borderId="0" xfId="17" applyNumberFormat="1" applyFont="1" applyAlignment="1" applyProtection="1">
      <protection locked="0"/>
    </xf>
    <xf numFmtId="0" fontId="45" fillId="0" borderId="0" xfId="17" applyNumberFormat="1" applyFont="1" applyAlignment="1"/>
    <xf numFmtId="170" fontId="45" fillId="0" borderId="66" xfId="2" applyNumberFormat="1" applyFont="1" applyBorder="1" applyAlignment="1"/>
    <xf numFmtId="0" fontId="53" fillId="0" borderId="0" xfId="2" applyNumberFormat="1" applyFont="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3"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4" fillId="0" borderId="0" xfId="0" applyNumberFormat="1" applyFont="1" applyFill="1"/>
    <xf numFmtId="43" fontId="43" fillId="0" borderId="0" xfId="0" applyNumberFormat="1" applyFont="1" applyFill="1" applyAlignment="1">
      <alignment horizontal="center" vertical="top"/>
    </xf>
    <xf numFmtId="43" fontId="43" fillId="0" borderId="0" xfId="0" applyNumberFormat="1" applyFont="1" applyFill="1" applyBorder="1" applyAlignment="1">
      <alignment horizontal="center"/>
    </xf>
    <xf numFmtId="43" fontId="44" fillId="0" borderId="0" xfId="0" applyNumberFormat="1" applyFont="1" applyFill="1" applyBorder="1" applyAlignment="1">
      <alignment horizontal="center" vertical="top"/>
    </xf>
    <xf numFmtId="43" fontId="43"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8" fillId="0" borderId="0" xfId="17" applyNumberFormat="1" applyFont="1" applyBorder="1" applyAlignment="1" applyProtection="1"/>
    <xf numFmtId="0" fontId="44" fillId="0" borderId="0" xfId="8" applyFont="1" applyAlignment="1">
      <alignment horizontal="right"/>
    </xf>
    <xf numFmtId="193" fontId="44" fillId="0" borderId="0" xfId="8" quotePrefix="1" applyNumberFormat="1" applyFont="1" applyAlignment="1">
      <alignment horizontal="right"/>
    </xf>
    <xf numFmtId="170" fontId="45" fillId="0" borderId="40" xfId="0" applyNumberFormat="1" applyFont="1" applyBorder="1" applyAlignment="1"/>
    <xf numFmtId="165" fontId="43" fillId="0" borderId="0" xfId="2" applyNumberFormat="1" applyFont="1" applyFill="1" applyAlignment="1"/>
    <xf numFmtId="165" fontId="38" fillId="0" borderId="0" xfId="2" applyNumberFormat="1" applyFont="1" applyFill="1" applyAlignment="1"/>
    <xf numFmtId="165" fontId="38" fillId="0" borderId="0" xfId="2" applyNumberFormat="1" applyFont="1" applyFill="1" applyAlignment="1">
      <alignment horizontal="centerContinuous"/>
    </xf>
    <xf numFmtId="0" fontId="76" fillId="0" borderId="0" xfId="2" applyNumberFormat="1" applyFont="1" applyFill="1" applyAlignment="1">
      <alignment horizontal="left"/>
    </xf>
    <xf numFmtId="166" fontId="38" fillId="0" borderId="0" xfId="2" applyNumberFormat="1" applyFont="1" applyFill="1" applyAlignment="1"/>
    <xf numFmtId="0" fontId="38" fillId="0" borderId="0" xfId="2" applyNumberFormat="1" applyFont="1" applyFill="1" applyAlignment="1">
      <alignment horizontal="left"/>
    </xf>
    <xf numFmtId="174" fontId="38" fillId="0" borderId="0" xfId="2" applyNumberFormat="1" applyFont="1" applyFill="1" applyAlignment="1">
      <alignment horizontal="right"/>
    </xf>
    <xf numFmtId="174" fontId="38" fillId="0" borderId="0" xfId="2" applyNumberFormat="1" applyFont="1" applyFill="1" applyAlignment="1"/>
    <xf numFmtId="170" fontId="38" fillId="0" borderId="0" xfId="2" applyNumberFormat="1" applyFont="1" applyFill="1" applyAlignment="1"/>
    <xf numFmtId="170" fontId="38" fillId="0" borderId="0" xfId="2" applyNumberFormat="1" applyFont="1" applyAlignment="1">
      <alignment horizontal="center"/>
    </xf>
    <xf numFmtId="170" fontId="40"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5" fillId="0" borderId="66" xfId="2" applyNumberFormat="1" applyFont="1" applyBorder="1"/>
    <xf numFmtId="174" fontId="80" fillId="0" borderId="17" xfId="2" applyNumberFormat="1" applyFont="1" applyBorder="1" applyAlignment="1"/>
    <xf numFmtId="180" fontId="0" fillId="0" borderId="0" xfId="17" applyNumberFormat="1" applyFont="1"/>
    <xf numFmtId="164" fontId="40" fillId="0" borderId="66" xfId="0" applyNumberFormat="1" applyFont="1" applyBorder="1" applyAlignment="1" applyProtection="1">
      <protection locked="0"/>
    </xf>
    <xf numFmtId="166" fontId="45" fillId="0" borderId="10" xfId="0" quotePrefix="1" applyNumberFormat="1" applyFont="1" applyBorder="1" applyAlignment="1" applyProtection="1">
      <alignment horizontal="center"/>
    </xf>
    <xf numFmtId="17" fontId="45"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5" fillId="0" borderId="0" xfId="2" applyFont="1"/>
    <xf numFmtId="0" fontId="80" fillId="0" borderId="0" xfId="2" quotePrefix="1" applyNumberFormat="1" applyFont="1" applyAlignment="1">
      <alignment horizontal="center"/>
    </xf>
    <xf numFmtId="0" fontId="45" fillId="0" borderId="0" xfId="840" quotePrefix="1" applyNumberFormat="1" applyFont="1" applyAlignment="1">
      <alignment horizontal="center"/>
    </xf>
    <xf numFmtId="164" fontId="38"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3" fillId="0" borderId="0" xfId="0" applyNumberFormat="1" applyFont="1"/>
    <xf numFmtId="0" fontId="43" fillId="0" borderId="0" xfId="0" applyNumberFormat="1" applyFont="1" applyFill="1" applyAlignment="1">
      <alignment horizontal="left" vertical="top" wrapText="1"/>
    </xf>
    <xf numFmtId="165" fontId="38" fillId="0" borderId="0" xfId="2" applyNumberFormat="1" applyFont="1" applyAlignment="1"/>
    <xf numFmtId="0" fontId="45" fillId="0" borderId="0" xfId="2" applyNumberFormat="1" applyFont="1" applyAlignment="1">
      <alignment horizontal="right"/>
    </xf>
    <xf numFmtId="170" fontId="45" fillId="0" borderId="0" xfId="2" applyNumberFormat="1" applyFont="1" applyAlignment="1"/>
    <xf numFmtId="165" fontId="38" fillId="34" borderId="0" xfId="5458" applyNumberFormat="1" applyFont="1" applyFill="1" applyAlignment="1" applyProtection="1">
      <protection locked="0"/>
    </xf>
    <xf numFmtId="37" fontId="38" fillId="0" borderId="0" xfId="2" applyNumberFormat="1" applyFont="1" applyBorder="1" applyAlignment="1"/>
    <xf numFmtId="37" fontId="38" fillId="0" borderId="0" xfId="2" applyNumberFormat="1" applyFont="1" applyAlignment="1">
      <alignment horizontal="right"/>
    </xf>
    <xf numFmtId="169" fontId="38" fillId="0" borderId="0" xfId="2" applyNumberFormat="1" applyFont="1" applyAlignment="1"/>
    <xf numFmtId="37" fontId="38" fillId="0" borderId="0" xfId="2" quotePrefix="1" applyNumberFormat="1" applyFont="1" applyAlignment="1">
      <alignment horizontal="center"/>
    </xf>
    <xf numFmtId="170" fontId="38" fillId="0" borderId="66" xfId="2" applyNumberFormat="1" applyFont="1" applyBorder="1" applyAlignment="1">
      <alignment horizontal="right"/>
    </xf>
    <xf numFmtId="170" fontId="38" fillId="0" borderId="66" xfId="2" applyNumberFormat="1" applyFont="1" applyBorder="1" applyAlignment="1"/>
    <xf numFmtId="166" fontId="38" fillId="0" borderId="0" xfId="2" applyNumberFormat="1" applyFont="1" applyBorder="1" applyAlignment="1">
      <alignment horizontal="right"/>
    </xf>
    <xf numFmtId="0" fontId="38" fillId="0" borderId="0" xfId="2" applyFont="1"/>
    <xf numFmtId="170" fontId="38" fillId="0" borderId="0" xfId="2" applyNumberFormat="1" applyFont="1"/>
    <xf numFmtId="166" fontId="38" fillId="0" borderId="0" xfId="2" applyNumberFormat="1" applyFont="1" applyBorder="1"/>
    <xf numFmtId="3" fontId="38" fillId="0" borderId="0" xfId="2" applyNumberFormat="1" applyFont="1" applyAlignment="1"/>
    <xf numFmtId="37" fontId="38" fillId="0" borderId="0" xfId="2" applyNumberFormat="1" applyFont="1"/>
    <xf numFmtId="0" fontId="38" fillId="0" borderId="0" xfId="5458" applyNumberFormat="1" applyFont="1" applyFill="1" applyAlignment="1">
      <alignment horizontal="left"/>
    </xf>
    <xf numFmtId="165" fontId="38" fillId="0" borderId="0" xfId="5458" applyNumberFormat="1" applyFont="1" applyAlignment="1" applyProtection="1">
      <protection locked="0"/>
    </xf>
    <xf numFmtId="37" fontId="45" fillId="0" borderId="73" xfId="2" applyNumberFormat="1" applyFont="1" applyBorder="1" applyAlignment="1">
      <alignment horizontal="center"/>
    </xf>
    <xf numFmtId="37" fontId="43" fillId="0" borderId="73" xfId="2" applyNumberFormat="1" applyFont="1" applyBorder="1" applyAlignment="1"/>
    <xf numFmtId="37" fontId="38" fillId="0" borderId="73" xfId="2" applyNumberFormat="1" applyFont="1" applyBorder="1" applyAlignment="1"/>
    <xf numFmtId="174" fontId="38" fillId="0" borderId="0" xfId="2" quotePrefix="1" applyNumberFormat="1" applyFont="1" applyAlignment="1">
      <alignment horizontal="right"/>
    </xf>
    <xf numFmtId="170" fontId="38" fillId="0" borderId="0" xfId="1773" applyNumberFormat="1" applyFont="1" applyAlignment="1"/>
    <xf numFmtId="170" fontId="38" fillId="0" borderId="0" xfId="2" applyNumberFormat="1" applyFont="1" applyBorder="1" applyAlignment="1"/>
    <xf numFmtId="170" fontId="38" fillId="0" borderId="0" xfId="2" applyNumberFormat="1" applyFont="1" applyBorder="1" applyAlignment="1">
      <alignment horizontal="right"/>
    </xf>
    <xf numFmtId="37" fontId="38" fillId="0" borderId="0" xfId="2" applyNumberFormat="1" applyFont="1" applyBorder="1" applyAlignment="1">
      <alignment horizontal="right"/>
    </xf>
    <xf numFmtId="170" fontId="38" fillId="0" borderId="0" xfId="2" quotePrefix="1" applyNumberFormat="1" applyFont="1" applyBorder="1" applyAlignment="1">
      <alignment horizontal="center"/>
    </xf>
    <xf numFmtId="37" fontId="38" fillId="0" borderId="0" xfId="2" quotePrefix="1" applyNumberFormat="1" applyFont="1" applyBorder="1" applyAlignment="1">
      <alignment horizontal="center"/>
    </xf>
    <xf numFmtId="37" fontId="38" fillId="0" borderId="0" xfId="2" applyNumberFormat="1" applyFont="1" applyBorder="1" applyAlignment="1">
      <alignment horizontal="center"/>
    </xf>
    <xf numFmtId="174" fontId="38" fillId="0" borderId="0" xfId="2" applyNumberFormat="1" applyFont="1"/>
    <xf numFmtId="0" fontId="38" fillId="0" borderId="0" xfId="2" applyFont="1" applyAlignment="1">
      <alignment horizontal="left"/>
    </xf>
    <xf numFmtId="37" fontId="38" fillId="0" borderId="0" xfId="2" applyNumberFormat="1" applyFont="1" applyFill="1"/>
    <xf numFmtId="174" fontId="38" fillId="0" borderId="73" xfId="2" applyNumberFormat="1" applyFont="1" applyBorder="1" applyAlignment="1"/>
    <xf numFmtId="174" fontId="38" fillId="0" borderId="0" xfId="2" quotePrefix="1" applyNumberFormat="1" applyFont="1" applyAlignment="1"/>
    <xf numFmtId="170" fontId="38" fillId="0" borderId="73" xfId="2" applyNumberFormat="1" applyFont="1" applyBorder="1" applyAlignment="1"/>
    <xf numFmtId="170" fontId="38" fillId="0" borderId="73" xfId="2" applyNumberFormat="1" applyFont="1" applyBorder="1" applyAlignment="1">
      <alignment horizontal="center"/>
    </xf>
    <xf numFmtId="170" fontId="45" fillId="0" borderId="73" xfId="2" applyNumberFormat="1" applyFont="1" applyBorder="1" applyAlignment="1"/>
    <xf numFmtId="174" fontId="45" fillId="0" borderId="73" xfId="2" applyNumberFormat="1" applyFont="1" applyBorder="1" applyAlignment="1"/>
    <xf numFmtId="166" fontId="38" fillId="0" borderId="0" xfId="2" applyNumberFormat="1" applyFont="1"/>
    <xf numFmtId="37" fontId="38"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5" fillId="0" borderId="0" xfId="2" applyNumberFormat="1" applyFont="1" applyAlignment="1">
      <alignment horizontal="right"/>
    </xf>
    <xf numFmtId="0" fontId="45"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5" fillId="0" borderId="0" xfId="2" applyNumberFormat="1" applyFont="1" applyFill="1" applyBorder="1" applyAlignment="1"/>
    <xf numFmtId="37" fontId="45"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8" fillId="0" borderId="0" xfId="2" applyNumberFormat="1" applyFont="1" applyBorder="1" applyAlignment="1">
      <alignment horizontal="right"/>
    </xf>
    <xf numFmtId="174" fontId="38" fillId="0" borderId="0" xfId="2" quotePrefix="1" applyNumberFormat="1" applyFont="1" applyBorder="1" applyAlignment="1">
      <alignment horizontal="right"/>
    </xf>
    <xf numFmtId="174" fontId="38" fillId="0" borderId="0" xfId="2" applyNumberFormat="1" applyFont="1" applyBorder="1" applyAlignment="1"/>
    <xf numFmtId="170" fontId="38" fillId="0" borderId="0" xfId="1773" applyNumberFormat="1" applyFont="1" applyBorder="1" applyAlignment="1"/>
    <xf numFmtId="170" fontId="38" fillId="0" borderId="0" xfId="1773" quotePrefix="1" applyNumberFormat="1" applyFont="1" applyBorder="1" applyAlignment="1">
      <alignment horizontal="right"/>
    </xf>
    <xf numFmtId="170" fontId="38" fillId="0" borderId="0" xfId="2" quotePrefix="1" applyNumberFormat="1" applyFont="1" applyBorder="1" applyAlignment="1">
      <alignment horizontal="right"/>
    </xf>
    <xf numFmtId="174" fontId="45" fillId="0" borderId="0" xfId="2" applyNumberFormat="1" applyFont="1" applyBorder="1" applyAlignment="1">
      <alignment horizontal="right"/>
    </xf>
    <xf numFmtId="174" fontId="38" fillId="0" borderId="0" xfId="2" applyNumberFormat="1" applyFont="1" applyBorder="1"/>
    <xf numFmtId="170" fontId="40" fillId="0" borderId="75" xfId="2" applyNumberFormat="1" applyFont="1" applyBorder="1" applyAlignment="1">
      <alignment horizontal="center"/>
    </xf>
    <xf numFmtId="0" fontId="45" fillId="0" borderId="0" xfId="2" applyNumberFormat="1" applyFont="1" applyAlignment="1">
      <alignment horizontal="left"/>
    </xf>
    <xf numFmtId="0" fontId="45" fillId="0" borderId="0" xfId="2" applyNumberFormat="1" applyFont="1" applyFill="1" applyAlignment="1">
      <alignment horizontal="right"/>
    </xf>
    <xf numFmtId="37" fontId="131" fillId="0" borderId="0" xfId="2" applyNumberFormat="1" applyFont="1" applyBorder="1" applyAlignment="1"/>
    <xf numFmtId="37" fontId="45" fillId="0" borderId="75" xfId="2" applyNumberFormat="1" applyFont="1" applyBorder="1" applyAlignment="1">
      <alignment horizontal="center"/>
    </xf>
    <xf numFmtId="170" fontId="45" fillId="0" borderId="0" xfId="2" quotePrefix="1" applyNumberFormat="1" applyFont="1" applyBorder="1" applyAlignment="1"/>
    <xf numFmtId="166" fontId="66" fillId="0" borderId="0" xfId="2" applyNumberFormat="1" applyFont="1" applyBorder="1" applyAlignment="1"/>
    <xf numFmtId="0" fontId="40" fillId="0" borderId="15" xfId="2" applyNumberFormat="1" applyFont="1" applyBorder="1" applyAlignment="1"/>
    <xf numFmtId="0" fontId="45" fillId="0" borderId="15" xfId="2" applyNumberFormat="1" applyFont="1" applyBorder="1" applyAlignment="1">
      <alignment horizontal="center"/>
    </xf>
    <xf numFmtId="0" fontId="45" fillId="0" borderId="15" xfId="2" quotePrefix="1" applyNumberFormat="1" applyFont="1" applyBorder="1" applyAlignment="1">
      <alignment horizontal="center"/>
    </xf>
    <xf numFmtId="0" fontId="40" fillId="0" borderId="15" xfId="2" applyFont="1" applyBorder="1" applyAlignment="1"/>
    <xf numFmtId="170" fontId="45" fillId="0" borderId="15" xfId="2" quotePrefix="1" applyNumberFormat="1" applyFont="1" applyBorder="1" applyAlignment="1"/>
    <xf numFmtId="170" fontId="45" fillId="0" borderId="15" xfId="2" applyNumberFormat="1" applyFont="1" applyBorder="1" applyAlignment="1">
      <alignment vertical="center"/>
    </xf>
    <xf numFmtId="166" fontId="45" fillId="0" borderId="15" xfId="2" applyNumberFormat="1" applyFont="1" applyFill="1" applyBorder="1" applyAlignment="1"/>
    <xf numFmtId="0" fontId="45" fillId="0" borderId="15" xfId="2" applyFont="1" applyFill="1" applyBorder="1" applyAlignment="1"/>
    <xf numFmtId="165" fontId="38" fillId="0" borderId="0" xfId="2" applyNumberFormat="1" applyFont="1" applyFill="1" applyBorder="1" applyAlignment="1"/>
    <xf numFmtId="0" fontId="38" fillId="0" borderId="0" xfId="2" applyFont="1" applyFill="1"/>
    <xf numFmtId="0" fontId="38" fillId="0" borderId="0" xfId="2" applyNumberFormat="1" applyFont="1" applyFill="1" applyAlignment="1"/>
    <xf numFmtId="165" fontId="38" fillId="0" borderId="0" xfId="2" applyNumberFormat="1" applyFont="1" applyFill="1" applyBorder="1" applyAlignment="1" applyProtection="1">
      <protection locked="0"/>
    </xf>
    <xf numFmtId="0" fontId="38" fillId="0" borderId="0" xfId="2" applyNumberFormat="1" applyFont="1" applyFill="1" applyBorder="1" applyAlignment="1"/>
    <xf numFmtId="0" fontId="38" fillId="0" borderId="0" xfId="2" applyNumberFormat="1" applyFont="1" applyFill="1" applyAlignment="1">
      <alignment horizontal="centerContinuous"/>
    </xf>
    <xf numFmtId="165" fontId="38" fillId="0" borderId="0" xfId="2" applyNumberFormat="1" applyFont="1" applyFill="1" applyBorder="1" applyAlignment="1" applyProtection="1">
      <alignment horizontal="center"/>
      <protection locked="0"/>
    </xf>
    <xf numFmtId="0" fontId="38" fillId="0" borderId="20" xfId="2" applyNumberFormat="1" applyFont="1" applyFill="1" applyBorder="1" applyAlignment="1"/>
    <xf numFmtId="165" fontId="38" fillId="0" borderId="20" xfId="2" applyNumberFormat="1" applyFont="1" applyFill="1" applyBorder="1" applyAlignment="1"/>
    <xf numFmtId="165" fontId="38" fillId="0" borderId="15" xfId="2" applyNumberFormat="1" applyFont="1" applyFill="1" applyBorder="1" applyAlignment="1" applyProtection="1">
      <protection locked="0"/>
    </xf>
    <xf numFmtId="165" fontId="38" fillId="0" borderId="0" xfId="2" applyNumberFormat="1" applyFont="1" applyBorder="1" applyAlignment="1" applyProtection="1">
      <protection locked="0"/>
    </xf>
    <xf numFmtId="165" fontId="38" fillId="0" borderId="37" xfId="2" applyNumberFormat="1" applyFont="1" applyFill="1" applyBorder="1" applyAlignment="1"/>
    <xf numFmtId="0" fontId="38" fillId="0" borderId="23" xfId="2" applyNumberFormat="1" applyFont="1" applyFill="1" applyBorder="1" applyAlignment="1"/>
    <xf numFmtId="0" fontId="38" fillId="0" borderId="37" xfId="2" applyNumberFormat="1" applyFont="1" applyFill="1" applyBorder="1" applyAlignment="1"/>
    <xf numFmtId="0" fontId="38" fillId="0" borderId="15" xfId="2" applyNumberFormat="1" applyFont="1" applyFill="1" applyBorder="1" applyAlignment="1"/>
    <xf numFmtId="0" fontId="38" fillId="0" borderId="0" xfId="2" applyFont="1" applyFill="1" applyAlignment="1"/>
    <xf numFmtId="0" fontId="38" fillId="0" borderId="0" xfId="2" applyFont="1" applyFill="1" applyBorder="1" applyAlignment="1"/>
    <xf numFmtId="0" fontId="38" fillId="0" borderId="13" xfId="2" applyFont="1" applyFill="1" applyBorder="1" applyAlignment="1"/>
    <xf numFmtId="0" fontId="38" fillId="0" borderId="28" xfId="2" applyFont="1" applyFill="1" applyBorder="1" applyAlignment="1"/>
    <xf numFmtId="0" fontId="38" fillId="0" borderId="15" xfId="2" applyFont="1" applyFill="1" applyBorder="1" applyAlignment="1"/>
    <xf numFmtId="174" fontId="38" fillId="0" borderId="0" xfId="2" quotePrefix="1" applyNumberFormat="1" applyFont="1" applyFill="1" applyAlignment="1">
      <alignment horizontal="right"/>
    </xf>
    <xf numFmtId="174" fontId="38" fillId="0" borderId="10" xfId="2" applyNumberFormat="1" applyFont="1" applyFill="1" applyBorder="1" applyAlignment="1"/>
    <xf numFmtId="174" fontId="38" fillId="0" borderId="13" xfId="2" applyNumberFormat="1" applyFont="1" applyFill="1" applyBorder="1" applyAlignment="1">
      <alignment horizontal="right"/>
    </xf>
    <xf numFmtId="174" fontId="38" fillId="0" borderId="0" xfId="2" applyNumberFormat="1" applyFont="1" applyFill="1" applyBorder="1" applyAlignment="1"/>
    <xf numFmtId="174" fontId="38" fillId="0" borderId="28" xfId="2" applyNumberFormat="1" applyFont="1" applyFill="1" applyBorder="1" applyAlignment="1">
      <alignment horizontal="right"/>
    </xf>
    <xf numFmtId="169" fontId="38" fillId="0" borderId="0" xfId="2" applyNumberFormat="1" applyFont="1" applyFill="1" applyAlignment="1"/>
    <xf numFmtId="169" fontId="38" fillId="0" borderId="15" xfId="2" applyNumberFormat="1" applyFont="1" applyFill="1" applyBorder="1" applyAlignment="1"/>
    <xf numFmtId="169" fontId="38" fillId="0" borderId="0" xfId="2" applyNumberFormat="1" applyFont="1" applyFill="1" applyBorder="1" applyAlignment="1"/>
    <xf numFmtId="168" fontId="38" fillId="0" borderId="0" xfId="2" applyNumberFormat="1" applyFont="1" applyFill="1" applyAlignment="1" applyProtection="1">
      <protection locked="0"/>
    </xf>
    <xf numFmtId="168" fontId="38" fillId="0" borderId="0" xfId="2" applyNumberFormat="1" applyFont="1" applyFill="1" applyAlignment="1"/>
    <xf numFmtId="166" fontId="38" fillId="0" borderId="15" xfId="2" applyNumberFormat="1" applyFont="1" applyFill="1" applyBorder="1" applyAlignment="1"/>
    <xf numFmtId="170" fontId="38" fillId="0" borderId="38" xfId="2" applyNumberFormat="1" applyFont="1" applyFill="1" applyBorder="1" applyAlignment="1"/>
    <xf numFmtId="170" fontId="38" fillId="0" borderId="0" xfId="2" applyNumberFormat="1" applyFont="1" applyFill="1" applyBorder="1" applyAlignment="1"/>
    <xf numFmtId="170" fontId="38" fillId="0" borderId="28" xfId="2" applyNumberFormat="1" applyFont="1" applyFill="1" applyBorder="1" applyAlignment="1"/>
    <xf numFmtId="170" fontId="38" fillId="0" borderId="13" xfId="2" applyNumberFormat="1" applyFont="1" applyFill="1" applyBorder="1" applyAlignment="1"/>
    <xf numFmtId="170" fontId="38" fillId="0" borderId="0" xfId="2" quotePrefix="1" applyNumberFormat="1" applyFont="1" applyFill="1" applyBorder="1" applyAlignment="1">
      <alignment horizontal="center"/>
    </xf>
    <xf numFmtId="170" fontId="38" fillId="0" borderId="13" xfId="2" quotePrefix="1" applyNumberFormat="1" applyFont="1" applyFill="1" applyBorder="1" applyAlignment="1">
      <alignment horizontal="right"/>
    </xf>
    <xf numFmtId="170" fontId="38" fillId="0" borderId="28" xfId="2" applyNumberFormat="1" applyFont="1" applyFill="1" applyBorder="1" applyAlignment="1">
      <alignment horizontal="right"/>
    </xf>
    <xf numFmtId="170" fontId="38" fillId="0" borderId="13" xfId="2" applyNumberFormat="1" applyFont="1" applyFill="1" applyBorder="1" applyAlignment="1">
      <alignment horizontal="right"/>
    </xf>
    <xf numFmtId="170" fontId="38" fillId="0" borderId="0" xfId="2" applyNumberFormat="1" applyFont="1" applyFill="1" applyBorder="1" applyAlignment="1">
      <alignment horizontal="right"/>
    </xf>
    <xf numFmtId="170" fontId="38" fillId="0" borderId="0" xfId="2" quotePrefix="1" applyNumberFormat="1" applyFont="1" applyFill="1" applyBorder="1" applyAlignment="1">
      <alignment horizontal="right"/>
    </xf>
    <xf numFmtId="170" fontId="38" fillId="0" borderId="12" xfId="2" quotePrefix="1" applyNumberFormat="1" applyFont="1" applyFill="1" applyBorder="1" applyAlignment="1"/>
    <xf numFmtId="170" fontId="38" fillId="0" borderId="71" xfId="2" applyNumberFormat="1" applyFont="1" applyFill="1" applyBorder="1" applyAlignment="1">
      <alignment horizontal="right"/>
    </xf>
    <xf numFmtId="170" fontId="38" fillId="0" borderId="13" xfId="2" quotePrefix="1" applyNumberFormat="1" applyFont="1" applyFill="1" applyBorder="1" applyAlignment="1">
      <alignment horizontal="center"/>
    </xf>
    <xf numFmtId="170" fontId="38" fillId="0" borderId="28" xfId="2" quotePrefix="1" applyNumberFormat="1" applyFont="1" applyFill="1" applyBorder="1" applyAlignment="1">
      <alignment horizontal="right"/>
    </xf>
    <xf numFmtId="0" fontId="38" fillId="0" borderId="15" xfId="2" quotePrefix="1" applyFont="1" applyFill="1" applyBorder="1" applyAlignment="1"/>
    <xf numFmtId="170" fontId="38" fillId="0" borderId="10" xfId="2" quotePrefix="1" applyNumberFormat="1" applyFont="1" applyFill="1" applyBorder="1" applyAlignment="1">
      <alignment horizontal="center"/>
    </xf>
    <xf numFmtId="170" fontId="38" fillId="0" borderId="71" xfId="2" quotePrefix="1" applyNumberFormat="1" applyFont="1" applyFill="1" applyBorder="1" applyAlignment="1">
      <alignment horizontal="right"/>
    </xf>
    <xf numFmtId="0" fontId="38" fillId="0" borderId="15" xfId="2" quotePrefix="1" applyFont="1" applyFill="1" applyBorder="1" applyAlignment="1">
      <alignment horizontal="center"/>
    </xf>
    <xf numFmtId="0" fontId="38" fillId="0" borderId="15" xfId="2" quotePrefix="1" applyFont="1" applyFill="1" applyBorder="1" applyAlignment="1">
      <alignment horizontal="right"/>
    </xf>
    <xf numFmtId="170" fontId="38" fillId="0" borderId="20" xfId="2" applyNumberFormat="1" applyFont="1" applyFill="1" applyBorder="1" applyAlignment="1"/>
    <xf numFmtId="170" fontId="38" fillId="0" borderId="37" xfId="2" applyNumberFormat="1" applyFont="1" applyFill="1" applyBorder="1" applyAlignment="1"/>
    <xf numFmtId="170" fontId="38" fillId="0" borderId="0" xfId="2" applyNumberFormat="1" applyFont="1" applyFill="1" applyAlignment="1">
      <alignment horizontal="center"/>
    </xf>
    <xf numFmtId="165" fontId="45" fillId="0" borderId="0" xfId="2" applyNumberFormat="1" applyFont="1" applyFill="1" applyAlignment="1" applyProtection="1">
      <protection locked="0"/>
    </xf>
    <xf numFmtId="169" fontId="38" fillId="0" borderId="36" xfId="2" applyNumberFormat="1" applyFont="1" applyFill="1" applyBorder="1" applyAlignment="1"/>
    <xf numFmtId="168" fontId="38" fillId="0" borderId="0" xfId="2" applyNumberFormat="1" applyFont="1" applyFill="1" applyBorder="1" applyAlignment="1" applyProtection="1">
      <protection locked="0"/>
    </xf>
    <xf numFmtId="170" fontId="38" fillId="0" borderId="0" xfId="2" applyNumberFormat="1" applyFont="1" applyFill="1" applyAlignment="1" applyProtection="1">
      <protection locked="0"/>
    </xf>
    <xf numFmtId="170" fontId="45" fillId="0" borderId="16" xfId="2" applyNumberFormat="1" applyFont="1" applyFill="1" applyBorder="1" applyAlignment="1" applyProtection="1">
      <protection locked="0"/>
    </xf>
    <xf numFmtId="164" fontId="45" fillId="0" borderId="16" xfId="2" applyNumberFormat="1" applyFont="1" applyBorder="1" applyAlignment="1" applyProtection="1">
      <protection locked="0"/>
    </xf>
    <xf numFmtId="0" fontId="38" fillId="0" borderId="0" xfId="2" quotePrefix="1" applyNumberFormat="1" applyFont="1" applyAlignment="1">
      <alignment horizontal="left"/>
    </xf>
    <xf numFmtId="0" fontId="40" fillId="0" borderId="75" xfId="4" applyFont="1" applyFill="1" applyBorder="1"/>
    <xf numFmtId="166" fontId="40" fillId="0" borderId="75" xfId="4" applyNumberFormat="1" applyFont="1" applyFill="1" applyBorder="1"/>
    <xf numFmtId="170" fontId="45" fillId="0" borderId="16" xfId="5" applyNumberFormat="1" applyFont="1" applyFill="1" applyBorder="1"/>
    <xf numFmtId="170" fontId="45" fillId="0" borderId="0" xfId="4" applyNumberFormat="1" applyFont="1" applyFill="1" applyBorder="1"/>
    <xf numFmtId="170" fontId="45" fillId="0" borderId="0" xfId="5" applyNumberFormat="1" applyFont="1" applyFill="1" applyBorder="1"/>
    <xf numFmtId="0" fontId="45" fillId="0" borderId="66" xfId="2" applyNumberFormat="1" applyFont="1" applyBorder="1" applyAlignment="1">
      <alignment horizontal="center"/>
    </xf>
    <xf numFmtId="165" fontId="40" fillId="0" borderId="0" xfId="2" applyNumberFormat="1" applyFont="1" applyBorder="1"/>
    <xf numFmtId="165" fontId="40" fillId="0" borderId="28" xfId="2" applyNumberFormat="1" applyFont="1" applyBorder="1" applyAlignment="1"/>
    <xf numFmtId="165" fontId="43" fillId="0" borderId="0" xfId="2" applyNumberFormat="1" applyFont="1" applyBorder="1"/>
    <xf numFmtId="165" fontId="44" fillId="0" borderId="0" xfId="2" applyNumberFormat="1" applyFont="1" applyBorder="1" applyAlignment="1"/>
    <xf numFmtId="165" fontId="43" fillId="0" borderId="0" xfId="2" applyNumberFormat="1" applyFont="1" applyBorder="1" applyAlignment="1"/>
    <xf numFmtId="165" fontId="45" fillId="0" borderId="66" xfId="2" applyNumberFormat="1" applyFont="1" applyBorder="1" applyAlignment="1">
      <alignment horizontal="center"/>
    </xf>
    <xf numFmtId="166" fontId="40" fillId="0" borderId="75" xfId="2" applyNumberFormat="1" applyFont="1" applyBorder="1" applyAlignment="1"/>
    <xf numFmtId="170" fontId="45" fillId="0" borderId="0" xfId="2" quotePrefix="1" applyNumberFormat="1" applyFont="1" applyAlignment="1"/>
    <xf numFmtId="166" fontId="45" fillId="0" borderId="0" xfId="2" applyNumberFormat="1" applyFont="1" applyBorder="1"/>
    <xf numFmtId="164" fontId="45" fillId="0" borderId="45" xfId="2" applyNumberFormat="1" applyFont="1" applyBorder="1"/>
    <xf numFmtId="0" fontId="48" fillId="0" borderId="0" xfId="2" applyNumberFormat="1" applyFont="1" applyAlignment="1"/>
    <xf numFmtId="170" fontId="85" fillId="0" borderId="0" xfId="2" applyNumberFormat="1" applyFont="1" applyAlignment="1"/>
    <xf numFmtId="0" fontId="41" fillId="0" borderId="0" xfId="2" applyNumberFormat="1" applyFont="1" applyFill="1" applyAlignment="1"/>
    <xf numFmtId="166" fontId="40" fillId="0" borderId="21" xfId="2" applyNumberFormat="1" applyFont="1" applyFill="1" applyBorder="1" applyAlignment="1"/>
    <xf numFmtId="170" fontId="40" fillId="0" borderId="18" xfId="2" applyNumberFormat="1" applyFont="1" applyFill="1" applyBorder="1" applyAlignment="1"/>
    <xf numFmtId="170" fontId="40" fillId="0" borderId="47" xfId="2" applyNumberFormat="1" applyFont="1" applyFill="1" applyBorder="1" applyAlignment="1"/>
    <xf numFmtId="170" fontId="45" fillId="0" borderId="45" xfId="2" applyNumberFormat="1" applyFont="1" applyFill="1" applyBorder="1" applyAlignment="1">
      <alignment horizontal="right"/>
    </xf>
    <xf numFmtId="166" fontId="60" fillId="0" borderId="0" xfId="2" applyNumberFormat="1" applyFont="1" applyBorder="1" applyAlignment="1"/>
    <xf numFmtId="165" fontId="38" fillId="0" borderId="0" xfId="0" applyNumberFormat="1" applyFont="1" applyAlignment="1">
      <alignment horizontal="left"/>
    </xf>
    <xf numFmtId="165" fontId="0" fillId="0" borderId="0" xfId="2" applyNumberFormat="1" applyFont="1" applyFill="1" applyAlignment="1"/>
    <xf numFmtId="0" fontId="45" fillId="0" borderId="0" xfId="2" applyFont="1" applyFill="1" applyAlignment="1"/>
    <xf numFmtId="164" fontId="45" fillId="0" borderId="45" xfId="2" applyNumberFormat="1" applyFont="1" applyBorder="1" applyAlignment="1" applyProtection="1">
      <protection locked="0"/>
    </xf>
    <xf numFmtId="170" fontId="40" fillId="0" borderId="0" xfId="2" quotePrefix="1" applyNumberFormat="1" applyFont="1" applyFill="1" applyAlignment="1"/>
    <xf numFmtId="170" fontId="40" fillId="0" borderId="13" xfId="2" applyNumberFormat="1" applyFont="1" applyFill="1" applyBorder="1" applyAlignment="1"/>
    <xf numFmtId="170" fontId="45"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0" fillId="0" borderId="75" xfId="2" applyNumberFormat="1" applyFont="1" applyFill="1" applyBorder="1" applyAlignment="1"/>
    <xf numFmtId="170" fontId="45" fillId="0" borderId="13" xfId="2" applyNumberFormat="1" applyFont="1" applyFill="1" applyBorder="1" applyAlignment="1"/>
    <xf numFmtId="170" fontId="43" fillId="0" borderId="0" xfId="2" applyNumberFormat="1" applyFont="1" applyFill="1" applyAlignment="1"/>
    <xf numFmtId="165" fontId="66" fillId="0" borderId="0" xfId="2" applyNumberFormat="1" applyFont="1" applyFill="1" applyAlignment="1"/>
    <xf numFmtId="165" fontId="40"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1" fillId="0" borderId="0" xfId="2" applyNumberFormat="1" applyFont="1" applyFill="1" applyAlignment="1"/>
    <xf numFmtId="170" fontId="45" fillId="0" borderId="0" xfId="2" quotePrefix="1" applyNumberFormat="1" applyFont="1" applyFill="1" applyAlignment="1"/>
    <xf numFmtId="170" fontId="45"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1" fillId="0" borderId="0" xfId="2" applyNumberFormat="1" applyFont="1" applyFill="1" applyBorder="1" applyAlignment="1"/>
    <xf numFmtId="165" fontId="45" fillId="0" borderId="0" xfId="2" applyNumberFormat="1" applyFont="1" applyFill="1" applyAlignment="1">
      <alignment horizontal="center"/>
    </xf>
    <xf numFmtId="165" fontId="45"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5" fillId="0" borderId="15" xfId="2" applyNumberFormat="1" applyFont="1" applyFill="1" applyBorder="1" applyAlignment="1"/>
    <xf numFmtId="170" fontId="45" fillId="0" borderId="0" xfId="2" applyNumberFormat="1" applyFont="1" applyFill="1" applyAlignment="1">
      <alignment horizontal="right"/>
    </xf>
    <xf numFmtId="170" fontId="40" fillId="0" borderId="75" xfId="2" applyNumberFormat="1" applyFont="1" applyFill="1" applyBorder="1" applyAlignment="1">
      <alignment horizontal="center"/>
    </xf>
    <xf numFmtId="170" fontId="45" fillId="0" borderId="66" xfId="2" applyNumberFormat="1" applyFont="1" applyFill="1" applyBorder="1" applyAlignment="1"/>
    <xf numFmtId="170" fontId="45" fillId="0" borderId="15" xfId="2" applyNumberFormat="1" applyFont="1" applyFill="1" applyBorder="1" applyAlignment="1">
      <alignment horizontal="center"/>
    </xf>
    <xf numFmtId="170" fontId="45" fillId="0" borderId="15" xfId="2" applyNumberFormat="1" applyFont="1" applyFill="1" applyBorder="1"/>
    <xf numFmtId="165" fontId="93" fillId="0" borderId="0" xfId="2" applyNumberFormat="1" applyFont="1" applyFill="1" applyAlignment="1"/>
    <xf numFmtId="170" fontId="45" fillId="0" borderId="0" xfId="2" quotePrefix="1" applyNumberFormat="1" applyFont="1" applyFill="1" applyAlignment="1">
      <alignment horizontal="center"/>
    </xf>
    <xf numFmtId="170" fontId="0" fillId="0" borderId="10" xfId="2" applyNumberFormat="1" applyFont="1" applyFill="1" applyBorder="1"/>
    <xf numFmtId="170" fontId="40" fillId="0" borderId="0" xfId="1" applyNumberFormat="1" applyFont="1" applyFill="1" applyAlignment="1">
      <alignment horizontal="center"/>
    </xf>
    <xf numFmtId="170" fontId="38" fillId="0" borderId="0" xfId="1" applyNumberFormat="1" applyFont="1" applyFill="1" applyAlignment="1">
      <alignment horizontal="center"/>
    </xf>
    <xf numFmtId="170" fontId="40"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5" fillId="0" borderId="0" xfId="2" applyNumberFormat="1" applyFont="1" applyFill="1" applyBorder="1" applyAlignment="1"/>
    <xf numFmtId="0" fontId="45" fillId="0" borderId="10" xfId="2" applyNumberFormat="1" applyFont="1" applyBorder="1" applyAlignment="1">
      <alignment horizontal="center"/>
    </xf>
    <xf numFmtId="170" fontId="45" fillId="0" borderId="16" xfId="4" applyNumberFormat="1" applyFont="1" applyFill="1" applyBorder="1"/>
    <xf numFmtId="0" fontId="160" fillId="0" borderId="0" xfId="2" applyFont="1" applyBorder="1"/>
    <xf numFmtId="0" fontId="45" fillId="0" borderId="0" xfId="2" applyNumberFormat="1" applyFont="1" applyAlignment="1">
      <alignment horizontal="left"/>
    </xf>
    <xf numFmtId="170" fontId="38" fillId="0" borderId="0" xfId="2" quotePrefix="1" applyNumberFormat="1" applyFont="1" applyFill="1" applyAlignment="1">
      <alignment horizontal="center"/>
    </xf>
    <xf numFmtId="174" fontId="38"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40" fillId="33" borderId="10" xfId="2" applyFont="1" applyFill="1" applyBorder="1" applyAlignment="1">
      <alignment horizontal="center"/>
    </xf>
    <xf numFmtId="0" fontId="0" fillId="0" borderId="10" xfId="2" applyFont="1" applyBorder="1"/>
    <xf numFmtId="174" fontId="0" fillId="0" borderId="0" xfId="2" applyNumberFormat="1" applyFont="1"/>
    <xf numFmtId="37" fontId="45" fillId="0" borderId="10" xfId="2" applyNumberFormat="1" applyFont="1" applyBorder="1" applyAlignment="1">
      <alignment horizontal="centerContinuous"/>
    </xf>
    <xf numFmtId="37" fontId="38" fillId="0" borderId="10" xfId="2" applyNumberFormat="1" applyFont="1" applyBorder="1"/>
    <xf numFmtId="0" fontId="38" fillId="33" borderId="10" xfId="2" applyFont="1" applyFill="1" applyBorder="1" applyAlignment="1">
      <alignment horizontal="center"/>
    </xf>
    <xf numFmtId="0" fontId="45" fillId="0" borderId="10" xfId="2" applyFont="1" applyFill="1" applyBorder="1" applyAlignment="1">
      <alignment horizontal="center"/>
    </xf>
    <xf numFmtId="37" fontId="130" fillId="0" borderId="10" xfId="2" applyNumberFormat="1" applyFont="1" applyFill="1" applyBorder="1"/>
    <xf numFmtId="37" fontId="45" fillId="0" borderId="10" xfId="2" applyNumberFormat="1" applyFont="1" applyBorder="1" applyAlignment="1">
      <alignment horizontal="center"/>
    </xf>
    <xf numFmtId="37" fontId="45" fillId="0" borderId="10" xfId="2" applyNumberFormat="1" applyFont="1" applyBorder="1" applyAlignment="1"/>
    <xf numFmtId="37" fontId="132" fillId="0" borderId="0" xfId="2" applyNumberFormat="1" applyFont="1" applyBorder="1"/>
    <xf numFmtId="37" fontId="66" fillId="0" borderId="0" xfId="2" applyNumberFormat="1" applyFont="1" applyBorder="1" applyAlignment="1"/>
    <xf numFmtId="37" fontId="133"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5" fillId="0" borderId="10" xfId="2" applyNumberFormat="1" applyFont="1" applyBorder="1" applyAlignment="1" applyProtection="1">
      <alignment horizontal="centerContinuous"/>
      <protection locked="0"/>
    </xf>
    <xf numFmtId="0" fontId="38" fillId="0" borderId="10" xfId="2" applyFont="1" applyFill="1" applyBorder="1" applyAlignment="1">
      <alignment horizontal="center"/>
    </xf>
    <xf numFmtId="170" fontId="38" fillId="0" borderId="0" xfId="2" applyNumberFormat="1" applyFont="1" applyBorder="1" applyAlignment="1">
      <alignment horizontal="center"/>
    </xf>
    <xf numFmtId="37" fontId="45" fillId="0" borderId="10" xfId="2" applyNumberFormat="1" applyFont="1" applyFill="1" applyBorder="1" applyAlignment="1">
      <alignment horizontal="centerContinuous"/>
    </xf>
    <xf numFmtId="37" fontId="38" fillId="0" borderId="10" xfId="2" applyNumberFormat="1" applyFont="1" applyFill="1" applyBorder="1"/>
    <xf numFmtId="174" fontId="38" fillId="0" borderId="0" xfId="2" quotePrefix="1" applyNumberFormat="1" applyFont="1" applyBorder="1" applyAlignment="1"/>
    <xf numFmtId="174" fontId="38" fillId="0" borderId="0" xfId="2" quotePrefix="1" applyNumberFormat="1" applyFont="1" applyBorder="1" applyAlignment="1">
      <alignment horizontal="center"/>
    </xf>
    <xf numFmtId="37" fontId="45" fillId="0" borderId="66" xfId="2" applyNumberFormat="1" applyFont="1" applyBorder="1" applyAlignment="1"/>
    <xf numFmtId="37" fontId="45" fillId="0" borderId="66" xfId="2" applyNumberFormat="1" applyFont="1" applyBorder="1" applyAlignment="1">
      <alignment horizontal="centerContinuous"/>
    </xf>
    <xf numFmtId="169" fontId="38" fillId="0" borderId="0" xfId="2" applyNumberFormat="1" applyFont="1" applyBorder="1" applyAlignment="1"/>
    <xf numFmtId="174" fontId="0" fillId="0" borderId="0" xfId="2" applyNumberFormat="1" applyFont="1" applyBorder="1"/>
    <xf numFmtId="0" fontId="45" fillId="0" borderId="10" xfId="2" applyFont="1" applyFill="1" applyBorder="1" applyAlignment="1">
      <alignment horizontal="center"/>
    </xf>
    <xf numFmtId="166" fontId="38" fillId="0" borderId="0" xfId="2" applyNumberFormat="1" applyFont="1" applyAlignment="1">
      <alignment horizontal="left"/>
    </xf>
    <xf numFmtId="0" fontId="38" fillId="0" borderId="0" xfId="2" quotePrefix="1" applyNumberFormat="1" applyFont="1" applyFill="1" applyAlignment="1">
      <alignment horizontal="left"/>
    </xf>
    <xf numFmtId="0" fontId="45" fillId="0" borderId="0" xfId="17" applyNumberFormat="1" applyFont="1" applyAlignment="1" applyProtection="1">
      <alignment horizontal="right"/>
      <protection locked="0"/>
    </xf>
    <xf numFmtId="37" fontId="45" fillId="0" borderId="76" xfId="2" applyNumberFormat="1" applyFont="1" applyBorder="1" applyAlignment="1">
      <alignment horizontal="centerContinuous"/>
    </xf>
    <xf numFmtId="37" fontId="45" fillId="0" borderId="28" xfId="2" applyNumberFormat="1" applyFont="1" applyBorder="1" applyAlignment="1">
      <alignment horizontal="center"/>
    </xf>
    <xf numFmtId="37" fontId="43" fillId="0" borderId="28" xfId="2" applyNumberFormat="1" applyFont="1" applyBorder="1" applyAlignment="1"/>
    <xf numFmtId="37" fontId="38" fillId="0" borderId="28" xfId="2" applyNumberFormat="1" applyFont="1" applyBorder="1" applyAlignment="1"/>
    <xf numFmtId="37" fontId="38" fillId="0" borderId="28" xfId="2" applyNumberFormat="1" applyFont="1" applyBorder="1" applyAlignment="1">
      <alignment horizontal="center"/>
    </xf>
    <xf numFmtId="37" fontId="45" fillId="0" borderId="28" xfId="2" applyNumberFormat="1" applyFont="1" applyBorder="1" applyAlignment="1"/>
    <xf numFmtId="37" fontId="45" fillId="0" borderId="77" xfId="2" applyNumberFormat="1" applyFont="1" applyBorder="1" applyAlignment="1"/>
    <xf numFmtId="37" fontId="45" fillId="0" borderId="27" xfId="2" applyNumberFormat="1" applyFont="1" applyBorder="1" applyAlignment="1"/>
    <xf numFmtId="37" fontId="45" fillId="0" borderId="78" xfId="2" applyNumberFormat="1" applyFont="1" applyBorder="1" applyAlignment="1">
      <alignment horizontal="center"/>
    </xf>
    <xf numFmtId="37" fontId="45" fillId="0" borderId="66" xfId="2" applyNumberFormat="1" applyFont="1" applyBorder="1" applyAlignment="1">
      <alignment horizontal="center"/>
    </xf>
    <xf numFmtId="174" fontId="38" fillId="0" borderId="21" xfId="2" applyNumberFormat="1" applyFont="1" applyBorder="1" applyAlignment="1"/>
    <xf numFmtId="43" fontId="38" fillId="0" borderId="0" xfId="1767" applyNumberFormat="1" applyFont="1" applyFill="1" applyAlignment="1" applyProtection="1">
      <alignment horizontal="right"/>
    </xf>
    <xf numFmtId="43" fontId="45" fillId="0" borderId="0" xfId="1767" applyNumberFormat="1" applyFont="1" applyFill="1" applyAlignment="1" applyProtection="1">
      <alignment horizontal="right"/>
    </xf>
    <xf numFmtId="43" fontId="45" fillId="0" borderId="35" xfId="1767" applyNumberFormat="1" applyFont="1" applyFill="1" applyBorder="1" applyAlignment="1" applyProtection="1">
      <alignment horizontal="right"/>
    </xf>
    <xf numFmtId="43" fontId="38" fillId="0" borderId="0" xfId="1767" applyNumberFormat="1" applyFont="1" applyFill="1" applyAlignment="1" applyProtection="1"/>
    <xf numFmtId="0" fontId="98" fillId="0" borderId="0" xfId="1767" applyNumberFormat="1" applyFont="1" applyFill="1" applyAlignment="1" applyProtection="1"/>
    <xf numFmtId="164" fontId="38" fillId="0" borderId="0" xfId="1767" applyNumberFormat="1" applyFont="1" applyFill="1" applyAlignment="1" applyProtection="1"/>
    <xf numFmtId="164" fontId="98" fillId="0" borderId="0" xfId="1767" applyNumberFormat="1" applyFont="1" applyFill="1" applyAlignment="1" applyProtection="1"/>
    <xf numFmtId="0" fontId="38" fillId="0" borderId="0" xfId="739" applyNumberFormat="1" applyFont="1" applyAlignment="1"/>
    <xf numFmtId="37" fontId="38" fillId="0" borderId="0" xfId="739" applyNumberFormat="1" applyFont="1" applyAlignment="1"/>
    <xf numFmtId="164" fontId="39" fillId="0" borderId="0" xfId="0" applyFont="1" applyAlignment="1">
      <alignment horizontal="right"/>
    </xf>
    <xf numFmtId="0" fontId="38" fillId="0" borderId="0" xfId="739" applyNumberFormat="1" applyFont="1" applyBorder="1" applyAlignment="1">
      <alignment horizontal="centerContinuous"/>
    </xf>
    <xf numFmtId="166" fontId="38" fillId="0" borderId="0" xfId="739" applyNumberFormat="1" applyFont="1" applyBorder="1" applyAlignment="1" applyProtection="1">
      <protection locked="0"/>
    </xf>
    <xf numFmtId="166" fontId="38" fillId="0" borderId="0" xfId="739" applyNumberFormat="1" applyFont="1" applyAlignment="1"/>
    <xf numFmtId="0" fontId="38" fillId="0" borderId="0" xfId="739" applyNumberFormat="1" applyFont="1" applyBorder="1" applyAlignment="1">
      <alignment horizontal="left"/>
    </xf>
    <xf numFmtId="0" fontId="38" fillId="0" borderId="0" xfId="1776" applyFont="1" applyFill="1"/>
    <xf numFmtId="39" fontId="38" fillId="0" borderId="0" xfId="1776" applyNumberFormat="1" applyFont="1" applyFill="1"/>
    <xf numFmtId="39" fontId="38"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8" fillId="0" borderId="0" xfId="1776" applyFont="1" applyFill="1" applyBorder="1" applyAlignment="1">
      <alignment horizontal="left"/>
    </xf>
    <xf numFmtId="39" fontId="62" fillId="0" borderId="0" xfId="1776" applyNumberFormat="1" applyFont="1" applyFill="1" applyBorder="1"/>
    <xf numFmtId="39" fontId="38" fillId="0" borderId="0" xfId="1776" applyNumberFormat="1" applyFont="1" applyFill="1" applyBorder="1" applyAlignment="1">
      <alignment horizontal="center"/>
    </xf>
    <xf numFmtId="165" fontId="45" fillId="0" borderId="0" xfId="1776" applyNumberFormat="1" applyFont="1" applyFill="1" applyAlignment="1"/>
    <xf numFmtId="39" fontId="45" fillId="0" borderId="0" xfId="1776" applyNumberFormat="1" applyFont="1" applyFill="1" applyAlignment="1"/>
    <xf numFmtId="0" fontId="45" fillId="0" borderId="0" xfId="1776" applyNumberFormat="1" applyFont="1" applyFill="1" applyAlignment="1">
      <alignment horizontal="center"/>
    </xf>
    <xf numFmtId="39" fontId="45" fillId="0" borderId="0" xfId="1776" applyNumberFormat="1" applyFont="1" applyFill="1" applyBorder="1" applyAlignment="1"/>
    <xf numFmtId="39" fontId="45" fillId="0" borderId="0" xfId="1776" applyNumberFormat="1" applyFont="1" applyFill="1"/>
    <xf numFmtId="0" fontId="45" fillId="0" borderId="0" xfId="1776" applyFont="1" applyFill="1"/>
    <xf numFmtId="0" fontId="38" fillId="0" borderId="0" xfId="1776" applyNumberFormat="1" applyFont="1" applyFill="1" applyAlignment="1"/>
    <xf numFmtId="39" fontId="38" fillId="0" borderId="0" xfId="1776" applyNumberFormat="1" applyFont="1" applyFill="1" applyAlignment="1"/>
    <xf numFmtId="39" fontId="45" fillId="0" borderId="0" xfId="1776" applyNumberFormat="1" applyFont="1" applyFill="1" applyAlignment="1">
      <alignment horizontal="center"/>
    </xf>
    <xf numFmtId="39" fontId="38" fillId="0" borderId="0" xfId="1776" applyNumberFormat="1" applyFont="1" applyFill="1" applyBorder="1" applyAlignment="1"/>
    <xf numFmtId="0" fontId="45" fillId="0" borderId="0" xfId="1776" applyNumberFormat="1" applyFont="1" applyFill="1" applyAlignment="1"/>
    <xf numFmtId="44" fontId="45" fillId="0" borderId="0" xfId="1776" applyNumberFormat="1" applyFont="1" applyFill="1" applyAlignment="1"/>
    <xf numFmtId="44" fontId="45" fillId="0" borderId="0" xfId="1776" applyNumberFormat="1" applyFont="1" applyFill="1" applyBorder="1" applyAlignment="1"/>
    <xf numFmtId="8" fontId="45" fillId="0" borderId="0" xfId="1776" applyNumberFormat="1" applyFont="1" applyFill="1"/>
    <xf numFmtId="40" fontId="45" fillId="0" borderId="0" xfId="1776" applyNumberFormat="1" applyFont="1" applyFill="1"/>
    <xf numFmtId="0" fontId="38" fillId="0" borderId="0" xfId="1776" applyNumberFormat="1" applyFont="1" applyFill="1" applyAlignment="1">
      <alignment horizontal="left"/>
    </xf>
    <xf numFmtId="43" fontId="38" fillId="0" borderId="0" xfId="1776" applyNumberFormat="1" applyFont="1" applyFill="1" applyAlignment="1"/>
    <xf numFmtId="43" fontId="38" fillId="0" borderId="0" xfId="1776" applyNumberFormat="1" applyFont="1" applyFill="1" applyBorder="1" applyAlignment="1"/>
    <xf numFmtId="43" fontId="45" fillId="0" borderId="0" xfId="1776" applyNumberFormat="1" applyFont="1" applyFill="1" applyBorder="1" applyAlignment="1"/>
    <xf numFmtId="0" fontId="45" fillId="0" borderId="0" xfId="1776" applyNumberFormat="1" applyFont="1" applyFill="1" applyAlignment="1">
      <alignment horizontal="left"/>
    </xf>
    <xf numFmtId="0" fontId="38" fillId="0" borderId="0" xfId="1776" quotePrefix="1" applyNumberFormat="1" applyFont="1" applyFill="1" applyAlignment="1">
      <alignment horizontal="left"/>
    </xf>
    <xf numFmtId="43" fontId="45" fillId="0" borderId="0" xfId="1776" applyNumberFormat="1" applyFont="1" applyFill="1" applyBorder="1" applyAlignment="1">
      <alignment horizontal="right"/>
    </xf>
    <xf numFmtId="0" fontId="38" fillId="0" borderId="0" xfId="1776" applyFont="1" applyFill="1" applyBorder="1"/>
    <xf numFmtId="43" fontId="38" fillId="0" borderId="0" xfId="1776" applyNumberFormat="1" applyFont="1" applyFill="1" applyBorder="1" applyAlignment="1" applyProtection="1"/>
    <xf numFmtId="39" fontId="45" fillId="0" borderId="0" xfId="1776" applyNumberFormat="1" applyFont="1" applyFill="1" applyBorder="1"/>
    <xf numFmtId="0" fontId="45" fillId="0" borderId="0" xfId="1776" applyFont="1" applyFill="1" applyBorder="1"/>
    <xf numFmtId="43" fontId="38" fillId="0" borderId="0" xfId="1776" applyNumberFormat="1" applyFont="1" applyFill="1" applyBorder="1" applyAlignment="1" applyProtection="1">
      <alignment horizontal="right"/>
    </xf>
    <xf numFmtId="39" fontId="38" fillId="0" borderId="46" xfId="1776" applyNumberFormat="1" applyFont="1" applyFill="1" applyBorder="1" applyAlignment="1"/>
    <xf numFmtId="39" fontId="45" fillId="0" borderId="0" xfId="1776" quotePrefix="1" applyNumberFormat="1" applyFont="1" applyFill="1" applyAlignment="1">
      <alignment horizontal="left"/>
    </xf>
    <xf numFmtId="44" fontId="45" fillId="0" borderId="0" xfId="1776" applyNumberFormat="1" applyFont="1" applyFill="1" applyBorder="1" applyAlignment="1">
      <alignment horizontal="right"/>
    </xf>
    <xf numFmtId="4" fontId="45" fillId="0" borderId="0" xfId="1776" applyNumberFormat="1" applyFont="1" applyFill="1"/>
    <xf numFmtId="0" fontId="38" fillId="0" borderId="0" xfId="1776" applyNumberFormat="1" applyFont="1" applyFill="1" applyBorder="1" applyAlignment="1">
      <alignment horizontal="left"/>
    </xf>
    <xf numFmtId="0" fontId="38" fillId="0" borderId="0" xfId="1776" quotePrefix="1" applyFont="1" applyFill="1" applyAlignment="1">
      <alignment horizontal="left"/>
    </xf>
    <xf numFmtId="0" fontId="83" fillId="0" borderId="0" xfId="1776" applyFont="1"/>
    <xf numFmtId="39" fontId="45" fillId="0" borderId="0" xfId="1776" applyNumberFormat="1" applyFont="1"/>
    <xf numFmtId="0" fontId="38" fillId="0" borderId="0" xfId="1776" applyFont="1"/>
    <xf numFmtId="39" fontId="38" fillId="0" borderId="0" xfId="1776" applyNumberFormat="1" applyFont="1"/>
    <xf numFmtId="39" fontId="38" fillId="0" borderId="0" xfId="1776" applyNumberFormat="1" applyFont="1" applyBorder="1"/>
    <xf numFmtId="165" fontId="38" fillId="0" borderId="0" xfId="1776" applyNumberFormat="1" applyFont="1" applyProtection="1">
      <protection locked="0"/>
    </xf>
    <xf numFmtId="0" fontId="45" fillId="0" borderId="0" xfId="1776" applyNumberFormat="1" applyFont="1" applyAlignment="1">
      <alignment horizontal="left"/>
    </xf>
    <xf numFmtId="39" fontId="38" fillId="0" borderId="0" xfId="1776" applyNumberFormat="1" applyFont="1" applyBorder="1" applyAlignment="1"/>
    <xf numFmtId="0" fontId="53"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5" fillId="0" borderId="0" xfId="1776" applyNumberFormat="1" applyFont="1" applyBorder="1" applyAlignment="1">
      <alignment horizontal="center"/>
    </xf>
    <xf numFmtId="165" fontId="45" fillId="0" borderId="0" xfId="1776" applyNumberFormat="1" applyFont="1" applyAlignment="1"/>
    <xf numFmtId="39" fontId="45" fillId="0" borderId="0" xfId="1776" applyNumberFormat="1" applyFont="1" applyBorder="1" applyAlignment="1"/>
    <xf numFmtId="0" fontId="45" fillId="0" borderId="0" xfId="1776" applyFont="1"/>
    <xf numFmtId="0" fontId="38" fillId="0" borderId="0" xfId="1776" applyNumberFormat="1" applyFont="1" applyAlignment="1"/>
    <xf numFmtId="39" fontId="45" fillId="0" borderId="0" xfId="1776" applyNumberFormat="1" applyFont="1" applyAlignment="1">
      <alignment horizontal="center"/>
    </xf>
    <xf numFmtId="39" fontId="38" fillId="0" borderId="0" xfId="1776" applyNumberFormat="1" applyFont="1" applyAlignment="1"/>
    <xf numFmtId="0" fontId="45" fillId="0" borderId="0" xfId="1776" applyNumberFormat="1" applyFont="1" applyAlignment="1"/>
    <xf numFmtId="44" fontId="45" fillId="0" borderId="0" xfId="1776" applyNumberFormat="1" applyFont="1" applyAlignment="1"/>
    <xf numFmtId="44" fontId="45" fillId="0" borderId="21" xfId="1776" applyNumberFormat="1" applyFont="1" applyBorder="1" applyAlignment="1"/>
    <xf numFmtId="39" fontId="38" fillId="0" borderId="21" xfId="1776" applyNumberFormat="1" applyFont="1" applyBorder="1" applyAlignment="1"/>
    <xf numFmtId="43" fontId="38" fillId="0" borderId="0" xfId="1776" applyNumberFormat="1" applyFont="1" applyAlignment="1"/>
    <xf numFmtId="43" fontId="38" fillId="0" borderId="21" xfId="1776" applyNumberFormat="1" applyFont="1" applyBorder="1" applyAlignment="1"/>
    <xf numFmtId="43" fontId="38" fillId="0" borderId="0" xfId="1776" applyNumberFormat="1" applyFont="1" applyBorder="1" applyAlignment="1"/>
    <xf numFmtId="43" fontId="38" fillId="0" borderId="18" xfId="1776" applyNumberFormat="1" applyFont="1" applyBorder="1" applyAlignment="1"/>
    <xf numFmtId="43" fontId="45" fillId="0" borderId="21" xfId="1776" applyNumberFormat="1" applyFont="1" applyBorder="1" applyAlignment="1"/>
    <xf numFmtId="43" fontId="45" fillId="0" borderId="0" xfId="1776" applyNumberFormat="1" applyFont="1" applyBorder="1" applyAlignment="1"/>
    <xf numFmtId="39" fontId="45" fillId="0" borderId="0" xfId="1776" applyNumberFormat="1" applyFont="1" applyBorder="1"/>
    <xf numFmtId="43" fontId="93" fillId="0" borderId="0" xfId="1776" applyNumberFormat="1" applyFont="1" applyAlignment="1"/>
    <xf numFmtId="0" fontId="38" fillId="0" borderId="0" xfId="1776" applyNumberFormat="1" applyFont="1" applyAlignment="1">
      <alignment horizontal="left"/>
    </xf>
    <xf numFmtId="43" fontId="45" fillId="0" borderId="18" xfId="1776" applyNumberFormat="1" applyFont="1" applyBorder="1" applyAlignment="1"/>
    <xf numFmtId="0" fontId="38" fillId="0" borderId="0" xfId="1776" applyFont="1" applyBorder="1"/>
    <xf numFmtId="43" fontId="38" fillId="0" borderId="0" xfId="1776" applyNumberFormat="1" applyFont="1"/>
    <xf numFmtId="0" fontId="45" fillId="0" borderId="0" xfId="1776" applyFont="1" applyBorder="1"/>
    <xf numFmtId="39" fontId="38" fillId="0" borderId="18" xfId="1776" applyNumberFormat="1" applyFont="1" applyBorder="1" applyAlignment="1"/>
    <xf numFmtId="44" fontId="45" fillId="0" borderId="18" xfId="1776" applyNumberFormat="1" applyFont="1" applyBorder="1" applyAlignment="1"/>
    <xf numFmtId="39" fontId="38" fillId="0" borderId="36" xfId="1776" applyNumberFormat="1" applyFont="1" applyBorder="1" applyAlignment="1"/>
    <xf numFmtId="0" fontId="38" fillId="0" borderId="0" xfId="1776" quotePrefix="1" applyFont="1" applyAlignment="1">
      <alignment horizontal="left"/>
    </xf>
    <xf numFmtId="165" fontId="41" fillId="0" borderId="0" xfId="840" applyNumberFormat="1" applyFont="1" applyAlignment="1" applyProtection="1">
      <protection locked="0"/>
    </xf>
    <xf numFmtId="40" fontId="38" fillId="0" borderId="0" xfId="840" applyNumberFormat="1" applyFont="1" applyAlignment="1">
      <alignment horizontal="center"/>
    </xf>
    <xf numFmtId="190" fontId="38" fillId="0" borderId="0" xfId="11" applyNumberFormat="1" applyFont="1" applyAlignment="1">
      <alignment horizontal="center"/>
    </xf>
    <xf numFmtId="40" fontId="38" fillId="0" borderId="0" xfId="840" quotePrefix="1" applyNumberFormat="1" applyFont="1" applyAlignment="1">
      <alignment horizontal="center"/>
    </xf>
    <xf numFmtId="165" fontId="38" fillId="0" borderId="0" xfId="840" applyNumberFormat="1" applyFont="1" applyAlignment="1"/>
    <xf numFmtId="39" fontId="38" fillId="0" borderId="0" xfId="840" applyNumberFormat="1" applyFont="1" applyBorder="1" applyAlignment="1"/>
    <xf numFmtId="40" fontId="38" fillId="0" borderId="0" xfId="840" applyNumberFormat="1" applyFont="1" applyAlignment="1"/>
    <xf numFmtId="42" fontId="38" fillId="0" borderId="0" xfId="840" applyNumberFormat="1" applyFont="1" applyAlignment="1"/>
    <xf numFmtId="0" fontId="38" fillId="0" borderId="0" xfId="840" applyNumberFormat="1" applyFont="1" applyAlignment="1"/>
    <xf numFmtId="37" fontId="38" fillId="0" borderId="0" xfId="840" applyNumberFormat="1" applyFont="1" applyAlignment="1"/>
    <xf numFmtId="37" fontId="38" fillId="0" borderId="0" xfId="840" applyNumberFormat="1" applyFont="1" applyBorder="1" applyAlignment="1"/>
    <xf numFmtId="190" fontId="38" fillId="0" borderId="0" xfId="11" applyNumberFormat="1" applyFont="1" applyAlignment="1"/>
    <xf numFmtId="41" fontId="38" fillId="0" borderId="0" xfId="840" applyNumberFormat="1" applyFont="1" applyAlignment="1"/>
    <xf numFmtId="41" fontId="38" fillId="0" borderId="0" xfId="840" applyNumberFormat="1" applyFont="1" applyBorder="1" applyAlignment="1"/>
    <xf numFmtId="41" fontId="38" fillId="0" borderId="0" xfId="11" applyNumberFormat="1" applyFont="1" applyFill="1" applyAlignment="1"/>
    <xf numFmtId="41" fontId="38" fillId="0" borderId="0" xfId="840" quotePrefix="1" applyNumberFormat="1" applyFont="1" applyBorder="1" applyAlignment="1">
      <alignment horizontal="center"/>
    </xf>
    <xf numFmtId="41" fontId="38" fillId="0" borderId="0" xfId="11" applyNumberFormat="1" applyFont="1" applyAlignment="1"/>
    <xf numFmtId="41" fontId="38" fillId="0" borderId="0" xfId="840" applyNumberFormat="1" applyFont="1" applyFill="1" applyAlignment="1"/>
    <xf numFmtId="41" fontId="38" fillId="0" borderId="0" xfId="840" applyNumberFormat="1" applyFont="1" applyFill="1" applyBorder="1" applyAlignment="1"/>
    <xf numFmtId="37" fontId="38" fillId="0" borderId="0" xfId="840" applyNumberFormat="1" applyFont="1" applyFill="1" applyAlignment="1"/>
    <xf numFmtId="41" fontId="38" fillId="0" borderId="0" xfId="840" applyNumberFormat="1" applyFont="1" applyFill="1" applyAlignment="1">
      <alignment horizontal="right"/>
    </xf>
    <xf numFmtId="41" fontId="38" fillId="0" borderId="0" xfId="840" applyNumberFormat="1" applyFont="1" applyFill="1"/>
    <xf numFmtId="41" fontId="38" fillId="0" borderId="0" xfId="840" quotePrefix="1" applyNumberFormat="1" applyFont="1" applyFill="1" applyAlignment="1">
      <alignment horizontal="right"/>
    </xf>
    <xf numFmtId="41" fontId="38" fillId="0" borderId="0" xfId="840" quotePrefix="1" applyNumberFormat="1" applyFont="1" applyFill="1" applyAlignment="1">
      <alignment horizontal="center"/>
    </xf>
    <xf numFmtId="41" fontId="38" fillId="0" borderId="0" xfId="840" quotePrefix="1" applyNumberFormat="1" applyFont="1" applyFill="1" applyBorder="1" applyAlignment="1">
      <alignment horizontal="center"/>
    </xf>
    <xf numFmtId="41" fontId="38" fillId="0" borderId="0" xfId="840" quotePrefix="1" applyNumberFormat="1" applyFont="1" applyBorder="1" applyAlignment="1">
      <alignment horizontal="right"/>
    </xf>
    <xf numFmtId="41" fontId="45" fillId="0" borderId="66" xfId="840" applyNumberFormat="1" applyFont="1" applyBorder="1" applyAlignment="1"/>
    <xf numFmtId="190" fontId="38" fillId="0" borderId="0" xfId="11" applyNumberFormat="1" applyFont="1" applyBorder="1" applyAlignment="1"/>
    <xf numFmtId="40" fontId="38" fillId="0" borderId="0" xfId="840" applyNumberFormat="1" applyFont="1" applyBorder="1" applyAlignment="1"/>
    <xf numFmtId="39" fontId="38" fillId="0" borderId="0" xfId="840" applyNumberFormat="1" applyFont="1" applyAlignment="1"/>
    <xf numFmtId="0" fontId="38" fillId="0" borderId="0" xfId="17" applyNumberFormat="1" applyFont="1" applyAlignment="1" applyProtection="1">
      <protection locked="0"/>
    </xf>
    <xf numFmtId="174" fontId="38" fillId="0" borderId="0" xfId="17" applyNumberFormat="1" applyFont="1" applyAlignment="1"/>
    <xf numFmtId="0" fontId="38" fillId="0" borderId="0" xfId="17" applyNumberFormat="1" applyFont="1" applyBorder="1" applyAlignment="1" applyProtection="1">
      <protection locked="0"/>
    </xf>
    <xf numFmtId="0" fontId="38" fillId="0" borderId="0" xfId="17" applyNumberFormat="1" applyFont="1" applyBorder="1" applyAlignment="1"/>
    <xf numFmtId="170" fontId="38" fillId="0" borderId="0" xfId="17" applyNumberFormat="1" applyFont="1" applyBorder="1" applyAlignment="1"/>
    <xf numFmtId="174" fontId="38" fillId="0" borderId="0" xfId="1049" applyNumberFormat="1" applyFont="1" applyBorder="1" applyAlignment="1">
      <alignment horizontal="center"/>
    </xf>
    <xf numFmtId="170" fontId="38" fillId="0" borderId="0" xfId="17" applyNumberFormat="1" applyFont="1" applyBorder="1" applyAlignment="1" applyProtection="1">
      <protection locked="0"/>
    </xf>
    <xf numFmtId="170" fontId="38" fillId="0" borderId="0" xfId="17" applyNumberFormat="1" applyFont="1" applyBorder="1" applyAlignment="1">
      <alignment horizontal="right"/>
    </xf>
    <xf numFmtId="170" fontId="38" fillId="0" borderId="0" xfId="17" applyNumberFormat="1" applyFont="1" applyBorder="1" applyAlignment="1" applyProtection="1">
      <alignment horizontal="right"/>
    </xf>
    <xf numFmtId="187" fontId="38" fillId="0" borderId="0" xfId="17" applyNumberFormat="1" applyFont="1" applyAlignment="1"/>
    <xf numFmtId="0" fontId="0" fillId="0" borderId="0" xfId="2" applyFont="1" applyBorder="1" applyAlignment="1">
      <alignment horizontal="right"/>
    </xf>
    <xf numFmtId="0" fontId="45" fillId="0" borderId="0" xfId="2" applyNumberFormat="1" applyFont="1" applyAlignment="1">
      <alignment horizontal="left"/>
    </xf>
    <xf numFmtId="165" fontId="64" fillId="0" borderId="0" xfId="2" applyNumberFormat="1" applyFont="1" applyAlignment="1">
      <alignment horizontal="center"/>
    </xf>
    <xf numFmtId="195" fontId="38"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5"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1" fillId="0" borderId="0" xfId="1776" applyNumberFormat="1" applyFont="1" applyBorder="1" applyAlignment="1">
      <alignment horizontal="centerContinuous"/>
    </xf>
    <xf numFmtId="44" fontId="45" fillId="0" borderId="0" xfId="1776" applyNumberFormat="1" applyFont="1" applyBorder="1" applyAlignment="1"/>
    <xf numFmtId="39" fontId="67"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8" fillId="0" borderId="0" xfId="1776" applyNumberFormat="1" applyFont="1" applyFill="1" applyBorder="1" applyAlignment="1">
      <alignment horizontal="center"/>
    </xf>
    <xf numFmtId="170" fontId="50" fillId="0" borderId="0" xfId="2" applyNumberFormat="1" applyFont="1" applyAlignment="1"/>
    <xf numFmtId="174" fontId="38" fillId="0" borderId="0" xfId="0" applyNumberFormat="1" applyFont="1" applyAlignment="1" applyProtection="1"/>
    <xf numFmtId="170" fontId="45" fillId="0" borderId="0" xfId="0" applyNumberFormat="1" applyFont="1" applyAlignment="1" applyProtection="1"/>
    <xf numFmtId="170" fontId="38" fillId="0" borderId="0" xfId="0" quotePrefix="1" applyNumberFormat="1" applyFont="1" applyAlignment="1" applyProtection="1">
      <alignment horizontal="right"/>
    </xf>
    <xf numFmtId="170" fontId="38" fillId="0" borderId="20" xfId="0" quotePrefix="1" applyNumberFormat="1" applyFont="1" applyBorder="1" applyAlignment="1" applyProtection="1">
      <alignment horizontal="center"/>
    </xf>
    <xf numFmtId="170" fontId="38" fillId="0" borderId="0" xfId="0" quotePrefix="1" applyNumberFormat="1" applyFont="1" applyAlignment="1" applyProtection="1"/>
    <xf numFmtId="172" fontId="40" fillId="0" borderId="0" xfId="0" applyNumberFormat="1" applyFont="1" applyBorder="1" applyAlignment="1" applyProtection="1">
      <protection locked="0"/>
    </xf>
    <xf numFmtId="172" fontId="168" fillId="0" borderId="0" xfId="1940" applyNumberFormat="1" applyFont="1" applyAlignment="1"/>
    <xf numFmtId="10" fontId="43"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8" fillId="0" borderId="47" xfId="2" applyNumberFormat="1" applyFont="1" applyBorder="1" applyAlignment="1"/>
    <xf numFmtId="0" fontId="40" fillId="0" borderId="79" xfId="4" applyFont="1" applyFill="1" applyBorder="1"/>
    <xf numFmtId="0" fontId="45" fillId="0" borderId="0" xfId="2" applyNumberFormat="1" applyFont="1" applyAlignment="1">
      <alignment horizontal="left"/>
    </xf>
    <xf numFmtId="0" fontId="45"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8" fillId="0" borderId="0" xfId="1940" applyNumberFormat="1" applyFont="1" applyAlignment="1"/>
    <xf numFmtId="164" fontId="45" fillId="0" borderId="66" xfId="1940" applyNumberFormat="1" applyFont="1" applyBorder="1" applyAlignment="1"/>
    <xf numFmtId="174" fontId="38" fillId="0" borderId="24" xfId="2" applyNumberFormat="1" applyFont="1" applyBorder="1" applyAlignment="1"/>
    <xf numFmtId="174" fontId="38" fillId="0" borderId="15" xfId="2" applyNumberFormat="1" applyFont="1" applyBorder="1" applyAlignment="1"/>
    <xf numFmtId="170" fontId="38" fillId="0" borderId="14" xfId="2" applyNumberFormat="1" applyFont="1" applyBorder="1" applyAlignment="1"/>
    <xf numFmtId="170" fontId="38" fillId="0" borderId="21" xfId="2" applyNumberFormat="1" applyFont="1" applyBorder="1" applyAlignment="1"/>
    <xf numFmtId="170" fontId="38" fillId="0" borderId="18" xfId="2" applyNumberFormat="1" applyFont="1" applyBorder="1"/>
    <xf numFmtId="170" fontId="38" fillId="0" borderId="15" xfId="2" applyNumberFormat="1" applyFont="1" applyBorder="1" applyAlignment="1"/>
    <xf numFmtId="43" fontId="38" fillId="0" borderId="0" xfId="2" applyNumberFormat="1" applyFont="1" applyBorder="1" applyAlignment="1"/>
    <xf numFmtId="170" fontId="38" fillId="0" borderId="25" xfId="2" applyNumberFormat="1" applyFont="1" applyBorder="1" applyAlignment="1"/>
    <xf numFmtId="0" fontId="38" fillId="0" borderId="0" xfId="2" applyFont="1" applyBorder="1" applyAlignment="1"/>
    <xf numFmtId="170" fontId="38" fillId="0" borderId="13" xfId="2" applyNumberFormat="1" applyFont="1" applyBorder="1" applyAlignment="1"/>
    <xf numFmtId="170" fontId="38" fillId="0" borderId="0" xfId="2" quotePrefix="1" applyNumberFormat="1" applyFont="1" applyBorder="1" applyAlignment="1"/>
    <xf numFmtId="170" fontId="38" fillId="0" borderId="12" xfId="2" quotePrefix="1" applyNumberFormat="1" applyFont="1" applyBorder="1" applyAlignment="1">
      <alignment horizontal="center"/>
    </xf>
    <xf numFmtId="170" fontId="38" fillId="0" borderId="18" xfId="2" applyNumberFormat="1" applyFont="1" applyBorder="1" applyAlignment="1"/>
    <xf numFmtId="170" fontId="38" fillId="0" borderId="15" xfId="2" quotePrefix="1" applyNumberFormat="1" applyFont="1" applyBorder="1" applyAlignment="1">
      <alignment horizontal="right"/>
    </xf>
    <xf numFmtId="170" fontId="38" fillId="0" borderId="13" xfId="2" quotePrefix="1" applyNumberFormat="1" applyFont="1" applyBorder="1" applyAlignment="1">
      <alignment horizontal="right"/>
    </xf>
    <xf numFmtId="170" fontId="38" fillId="0" borderId="15" xfId="2" quotePrefix="1" applyNumberFormat="1" applyFont="1" applyBorder="1" applyAlignment="1"/>
    <xf numFmtId="0" fontId="38" fillId="0" borderId="0" xfId="2" quotePrefix="1" applyFont="1" applyBorder="1" applyAlignment="1">
      <alignment horizontal="right"/>
    </xf>
    <xf numFmtId="169" fontId="38" fillId="0" borderId="36" xfId="2" applyNumberFormat="1" applyFont="1" applyBorder="1" applyAlignment="1"/>
    <xf numFmtId="168" fontId="38" fillId="0" borderId="0" xfId="2" applyNumberFormat="1" applyFont="1" applyBorder="1" applyAlignment="1" applyProtection="1">
      <protection locked="0"/>
    </xf>
    <xf numFmtId="168" fontId="38" fillId="0" borderId="0" xfId="2" applyNumberFormat="1" applyFont="1" applyAlignment="1" applyProtection="1">
      <protection locked="0"/>
    </xf>
    <xf numFmtId="170" fontId="38" fillId="0" borderId="19" xfId="2" applyNumberFormat="1" applyFont="1" applyBorder="1" applyAlignment="1"/>
    <xf numFmtId="168" fontId="38" fillId="0" borderId="0" xfId="2" applyNumberFormat="1" applyFont="1" applyAlignment="1"/>
    <xf numFmtId="165" fontId="38" fillId="0" borderId="0" xfId="2" applyNumberFormat="1" applyFont="1" applyBorder="1" applyAlignment="1"/>
    <xf numFmtId="170" fontId="38" fillId="0" borderId="10" xfId="2" applyNumberFormat="1" applyFont="1" applyBorder="1" applyAlignment="1"/>
    <xf numFmtId="170" fontId="38" fillId="0" borderId="19" xfId="2" applyNumberFormat="1" applyFont="1" applyBorder="1" applyAlignment="1">
      <alignment horizontal="right"/>
    </xf>
    <xf numFmtId="165" fontId="38" fillId="0" borderId="0" xfId="2" applyNumberFormat="1" applyFont="1" applyAlignment="1">
      <alignment horizontal="right"/>
    </xf>
    <xf numFmtId="170" fontId="67" fillId="0" borderId="66" xfId="2" applyNumberFormat="1" applyFont="1" applyBorder="1" applyAlignment="1"/>
    <xf numFmtId="39" fontId="38" fillId="0" borderId="0" xfId="2" applyNumberFormat="1" applyFont="1" applyBorder="1"/>
    <xf numFmtId="174" fontId="38" fillId="0" borderId="0" xfId="2" quotePrefix="1" applyNumberFormat="1" applyFont="1" applyFill="1" applyAlignment="1"/>
    <xf numFmtId="170" fontId="38" fillId="0" borderId="21" xfId="2" applyNumberFormat="1" applyFont="1" applyFill="1" applyBorder="1" applyAlignment="1"/>
    <xf numFmtId="0" fontId="45" fillId="0" borderId="10" xfId="2" applyFont="1" applyFill="1" applyBorder="1" applyAlignment="1" applyProtection="1">
      <alignment horizontal="center"/>
      <protection locked="0"/>
    </xf>
    <xf numFmtId="0" fontId="45" fillId="0" borderId="10" xfId="2" applyFont="1" applyFill="1" applyBorder="1" applyAlignment="1">
      <alignment horizontal="center"/>
    </xf>
    <xf numFmtId="170" fontId="38" fillId="0" borderId="0" xfId="0" applyNumberFormat="1" applyFont="1" applyBorder="1" applyAlignment="1" applyProtection="1">
      <alignment horizontal="center"/>
    </xf>
    <xf numFmtId="170" fontId="38" fillId="0" borderId="0" xfId="0" applyNumberFormat="1" applyFont="1" applyFill="1" applyAlignment="1" applyProtection="1">
      <alignment horizontal="center"/>
    </xf>
    <xf numFmtId="170" fontId="38" fillId="0" borderId="0" xfId="0" applyNumberFormat="1" applyFont="1" applyFill="1" applyBorder="1" applyAlignment="1" applyProtection="1"/>
    <xf numFmtId="170" fontId="38" fillId="0" borderId="0" xfId="0" applyNumberFormat="1" applyFont="1" applyAlignment="1" applyProtection="1">
      <alignment horizontal="right"/>
    </xf>
    <xf numFmtId="174" fontId="38" fillId="0" borderId="0" xfId="0" applyNumberFormat="1" applyFont="1" applyAlignment="1" applyProtection="1">
      <alignment horizontal="right"/>
    </xf>
    <xf numFmtId="170" fontId="40" fillId="0" borderId="0" xfId="0" applyNumberFormat="1" applyFont="1" applyFill="1" applyBorder="1" applyAlignment="1" applyProtection="1"/>
    <xf numFmtId="164" fontId="40" fillId="0" borderId="0" xfId="0" applyNumberFormat="1" applyFont="1" applyBorder="1" applyAlignment="1" applyProtection="1"/>
    <xf numFmtId="164" fontId="40" fillId="0" borderId="66" xfId="0" applyNumberFormat="1" applyFont="1" applyBorder="1" applyAlignment="1" applyProtection="1"/>
    <xf numFmtId="172" fontId="45" fillId="0" borderId="10" xfId="0" applyNumberFormat="1" applyFont="1" applyBorder="1" applyAlignment="1" applyProtection="1"/>
    <xf numFmtId="165" fontId="40" fillId="0" borderId="0" xfId="0" applyNumberFormat="1" applyFont="1" applyBorder="1" applyAlignment="1" applyProtection="1"/>
    <xf numFmtId="173" fontId="40" fillId="0" borderId="0" xfId="0" applyNumberFormat="1" applyFont="1" applyBorder="1" applyAlignment="1" applyProtection="1"/>
    <xf numFmtId="164" fontId="45" fillId="0" borderId="0" xfId="0" applyNumberFormat="1" applyFont="1" applyBorder="1" applyAlignment="1" applyProtection="1"/>
    <xf numFmtId="164" fontId="38" fillId="0" borderId="0" xfId="2" applyNumberFormat="1" applyFont="1" applyAlignment="1" applyProtection="1"/>
    <xf numFmtId="165" fontId="38" fillId="0" borderId="0" xfId="2" applyNumberFormat="1" applyFont="1" applyAlignment="1" applyProtection="1"/>
    <xf numFmtId="164" fontId="45" fillId="0" borderId="16" xfId="2" applyNumberFormat="1" applyFont="1" applyBorder="1" applyAlignment="1" applyProtection="1"/>
    <xf numFmtId="164" fontId="45" fillId="0" borderId="10" xfId="2" applyNumberFormat="1" applyFont="1" applyBorder="1" applyAlignment="1" applyProtection="1"/>
    <xf numFmtId="164" fontId="45" fillId="0" borderId="66" xfId="2" applyNumberFormat="1" applyFont="1" applyBorder="1" applyAlignment="1" applyProtection="1"/>
    <xf numFmtId="0" fontId="45" fillId="0" borderId="0" xfId="2" applyFont="1" applyFill="1" applyBorder="1" applyAlignment="1" applyProtection="1">
      <alignment horizontal="center"/>
      <protection locked="0"/>
    </xf>
    <xf numFmtId="164" fontId="38"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8" fillId="0" borderId="66" xfId="0" applyNumberFormat="1" applyFont="1" applyBorder="1" applyAlignment="1" applyProtection="1"/>
    <xf numFmtId="164" fontId="45" fillId="0" borderId="16" xfId="0" applyNumberFormat="1" applyFont="1" applyBorder="1" applyAlignment="1" applyProtection="1"/>
    <xf numFmtId="170" fontId="38" fillId="0" borderId="0" xfId="2" applyNumberFormat="1" applyFont="1" applyAlignment="1" applyProtection="1"/>
    <xf numFmtId="170" fontId="45" fillId="0" borderId="0" xfId="2" applyNumberFormat="1" applyFont="1" applyBorder="1" applyAlignment="1" applyProtection="1"/>
    <xf numFmtId="164" fontId="45" fillId="0" borderId="45" xfId="2" applyNumberFormat="1" applyFont="1" applyBorder="1" applyAlignment="1" applyProtection="1"/>
    <xf numFmtId="164" fontId="38" fillId="0" borderId="19" xfId="2" applyNumberFormat="1" applyFont="1" applyBorder="1" applyAlignment="1" applyProtection="1"/>
    <xf numFmtId="164" fontId="38" fillId="0" borderId="0" xfId="2" applyNumberFormat="1" applyFont="1" applyBorder="1" applyAlignment="1" applyProtection="1"/>
    <xf numFmtId="164" fontId="38" fillId="0" borderId="0" xfId="2" applyNumberFormat="1" applyFont="1" applyFill="1" applyBorder="1" applyAlignment="1" applyProtection="1"/>
    <xf numFmtId="164" fontId="43" fillId="0" borderId="0" xfId="2" applyNumberFormat="1" applyFont="1" applyAlignment="1" applyProtection="1"/>
    <xf numFmtId="164" fontId="45" fillId="0" borderId="16" xfId="2" applyNumberFormat="1" applyFont="1" applyBorder="1" applyAlignment="1" applyProtection="1">
      <alignment horizontal="right"/>
    </xf>
    <xf numFmtId="164" fontId="38" fillId="0" borderId="66" xfId="2" applyNumberFormat="1" applyFont="1" applyBorder="1" applyAlignment="1" applyProtection="1">
      <alignment horizontal="right"/>
    </xf>
    <xf numFmtId="164" fontId="38" fillId="0" borderId="0" xfId="2" applyNumberFormat="1" applyFont="1" applyBorder="1" applyAlignment="1" applyProtection="1">
      <alignment horizontal="right"/>
    </xf>
    <xf numFmtId="164" fontId="45" fillId="0" borderId="66" xfId="2" applyNumberFormat="1" applyFont="1" applyBorder="1" applyAlignment="1" applyProtection="1">
      <alignment horizontal="right"/>
    </xf>
    <xf numFmtId="0" fontId="40" fillId="0" borderId="0" xfId="4" applyFont="1" applyFill="1" applyProtection="1"/>
    <xf numFmtId="164" fontId="45" fillId="0" borderId="45" xfId="0" applyNumberFormat="1" applyFont="1" applyBorder="1" applyAlignment="1" applyProtection="1"/>
    <xf numFmtId="0" fontId="40" fillId="0" borderId="0" xfId="4" applyFont="1" applyFill="1" applyBorder="1" applyProtection="1"/>
    <xf numFmtId="164" fontId="45" fillId="0" borderId="66" xfId="0" applyNumberFormat="1" applyFont="1" applyBorder="1" applyAlignment="1" applyProtection="1"/>
    <xf numFmtId="164" fontId="40" fillId="0" borderId="0" xfId="4" applyNumberFormat="1" applyFont="1" applyFill="1" applyProtection="1"/>
    <xf numFmtId="0" fontId="40" fillId="0" borderId="0" xfId="4" applyFont="1" applyFill="1" applyProtection="1"/>
    <xf numFmtId="170" fontId="45" fillId="0" borderId="45" xfId="2" applyNumberFormat="1" applyFont="1" applyFill="1" applyBorder="1" applyAlignment="1" applyProtection="1"/>
    <xf numFmtId="170" fontId="45" fillId="0" borderId="0" xfId="2" applyNumberFormat="1" applyFont="1" applyAlignment="1" applyProtection="1"/>
    <xf numFmtId="170" fontId="45" fillId="0" borderId="0" xfId="2" applyNumberFormat="1" applyFont="1" applyFill="1" applyBorder="1" applyAlignment="1" applyProtection="1"/>
    <xf numFmtId="166" fontId="40" fillId="0" borderId="0" xfId="2" applyNumberFormat="1" applyFont="1" applyAlignment="1" applyProtection="1"/>
    <xf numFmtId="0" fontId="0" fillId="0" borderId="0" xfId="2" applyFont="1" applyBorder="1" applyProtection="1"/>
    <xf numFmtId="172" fontId="40" fillId="0" borderId="0" xfId="0" applyNumberFormat="1" applyFont="1" applyBorder="1" applyAlignment="1" applyProtection="1"/>
    <xf numFmtId="172" fontId="45" fillId="0" borderId="66" xfId="0" applyNumberFormat="1" applyFont="1" applyBorder="1" applyAlignment="1" applyProtection="1"/>
    <xf numFmtId="166" fontId="40" fillId="0" borderId="20" xfId="2" applyNumberFormat="1" applyFont="1" applyBorder="1" applyAlignment="1" applyProtection="1"/>
    <xf numFmtId="43" fontId="45" fillId="0" borderId="35" xfId="1028" applyNumberFormat="1" applyFont="1" applyBorder="1" applyAlignment="1" applyProtection="1">
      <alignment horizontal="right"/>
    </xf>
    <xf numFmtId="43" fontId="45" fillId="0" borderId="0" xfId="1028" applyNumberFormat="1" applyFont="1" applyBorder="1" applyAlignment="1" applyProtection="1">
      <alignment horizontal="right"/>
    </xf>
    <xf numFmtId="43" fontId="45" fillId="0" borderId="0" xfId="0" applyNumberFormat="1" applyFont="1" applyBorder="1" applyAlignment="1" applyProtection="1">
      <alignment horizontal="right"/>
    </xf>
    <xf numFmtId="44" fontId="45"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8" fillId="0" borderId="0" xfId="739" applyNumberFormat="1" applyFont="1" applyBorder="1" applyAlignment="1" applyProtection="1"/>
    <xf numFmtId="172" fontId="45" fillId="0" borderId="35" xfId="2" applyNumberFormat="1" applyFont="1" applyBorder="1" applyAlignment="1"/>
    <xf numFmtId="172" fontId="168" fillId="0" borderId="35" xfId="1940" applyNumberFormat="1" applyFont="1" applyBorder="1" applyAlignment="1"/>
    <xf numFmtId="170" fontId="45" fillId="0" borderId="0" xfId="0" applyNumberFormat="1" applyFont="1" applyFill="1" applyBorder="1" applyAlignment="1" applyProtection="1"/>
    <xf numFmtId="172" fontId="38" fillId="0" borderId="0" xfId="0" applyNumberFormat="1" applyFont="1" applyBorder="1" applyAlignment="1" applyProtection="1"/>
    <xf numFmtId="170" fontId="40" fillId="0" borderId="83" xfId="2" applyNumberFormat="1" applyFont="1" applyBorder="1" applyAlignment="1">
      <alignment horizontal="center"/>
    </xf>
    <xf numFmtId="0" fontId="38" fillId="0" borderId="0" xfId="1776" applyFont="1" applyAlignment="1"/>
    <xf numFmtId="0" fontId="38" fillId="0" borderId="0" xfId="1776" applyFill="1" applyAlignment="1"/>
    <xf numFmtId="170" fontId="38" fillId="0" borderId="66" xfId="2" applyNumberFormat="1" applyFont="1" applyFill="1" applyBorder="1" applyAlignment="1">
      <alignment horizontal="right"/>
    </xf>
    <xf numFmtId="170" fontId="45" fillId="0" borderId="20" xfId="2" applyNumberFormat="1" applyFont="1" applyFill="1" applyBorder="1" applyAlignment="1"/>
    <xf numFmtId="170" fontId="38" fillId="0" borderId="0" xfId="2" applyNumberFormat="1" applyFont="1" applyFill="1" applyBorder="1"/>
    <xf numFmtId="174" fontId="45" fillId="0" borderId="35" xfId="2" applyNumberFormat="1" applyFont="1" applyFill="1" applyBorder="1" applyAlignment="1"/>
    <xf numFmtId="43" fontId="45" fillId="0" borderId="0" xfId="0" applyNumberFormat="1" applyFont="1" applyAlignment="1" applyProtection="1">
      <alignment horizontal="right"/>
    </xf>
    <xf numFmtId="43" fontId="45" fillId="0" borderId="35" xfId="0" applyNumberFormat="1" applyFont="1" applyBorder="1" applyAlignment="1" applyProtection="1">
      <alignment horizontal="right"/>
    </xf>
    <xf numFmtId="43" fontId="38" fillId="0" borderId="0" xfId="0" applyNumberFormat="1" applyFont="1" applyAlignment="1" applyProtection="1">
      <alignment horizontal="right"/>
    </xf>
    <xf numFmtId="172" fontId="45" fillId="0" borderId="0" xfId="0" applyNumberFormat="1" applyFont="1" applyBorder="1" applyAlignment="1" applyProtection="1"/>
    <xf numFmtId="0" fontId="139" fillId="0" borderId="0" xfId="8" applyFont="1" applyAlignment="1">
      <alignment horizontal="left"/>
    </xf>
    <xf numFmtId="0" fontId="139" fillId="0" borderId="0" xfId="8" applyFont="1"/>
    <xf numFmtId="0" fontId="38" fillId="0" borderId="0" xfId="8" applyFont="1"/>
    <xf numFmtId="0" fontId="38" fillId="0" borderId="0" xfId="8" applyFont="1" applyAlignment="1"/>
    <xf numFmtId="0" fontId="139" fillId="0" borderId="0" xfId="8" applyFont="1" applyAlignment="1"/>
    <xf numFmtId="3" fontId="50" fillId="0" borderId="0" xfId="8" quotePrefix="1" applyNumberFormat="1" applyFont="1" applyAlignment="1">
      <alignment horizontal="right"/>
    </xf>
    <xf numFmtId="41" fontId="43" fillId="0" borderId="0" xfId="1773" applyNumberFormat="1" applyFont="1" applyFill="1"/>
    <xf numFmtId="0" fontId="38" fillId="0" borderId="0" xfId="2" applyFont="1" applyAlignment="1">
      <alignment horizontal="left"/>
    </xf>
    <xf numFmtId="177" fontId="182" fillId="0" borderId="0" xfId="740" applyNumberFormat="1" applyFont="1" applyFill="1" applyAlignment="1"/>
    <xf numFmtId="165" fontId="38" fillId="0" borderId="0" xfId="0" applyNumberFormat="1" applyFont="1" applyFill="1" applyAlignment="1" applyProtection="1">
      <protection locked="0"/>
    </xf>
    <xf numFmtId="172" fontId="45" fillId="0" borderId="0" xfId="1940" applyNumberFormat="1" applyFont="1" applyBorder="1" applyAlignment="1" applyProtection="1"/>
    <xf numFmtId="165" fontId="45" fillId="0" borderId="82" xfId="0" applyNumberFormat="1" applyFont="1" applyBorder="1" applyAlignment="1" applyProtection="1">
      <alignment horizontal="center"/>
    </xf>
    <xf numFmtId="0" fontId="45" fillId="0" borderId="82" xfId="0" applyNumberFormat="1" applyFont="1" applyBorder="1" applyAlignment="1" applyProtection="1">
      <alignment horizontal="center"/>
    </xf>
    <xf numFmtId="165" fontId="45" fillId="0" borderId="0" xfId="0" applyNumberFormat="1" applyFont="1" applyBorder="1" applyAlignment="1" applyProtection="1">
      <alignment horizontal="center"/>
    </xf>
    <xf numFmtId="0" fontId="45" fillId="0" borderId="66" xfId="0" quotePrefix="1" applyNumberFormat="1" applyFont="1" applyBorder="1" applyAlignment="1" applyProtection="1">
      <alignment horizontal="center"/>
    </xf>
    <xf numFmtId="0" fontId="45" fillId="0" borderId="0" xfId="0" applyNumberFormat="1" applyFont="1" applyBorder="1" applyAlignment="1" applyProtection="1">
      <alignment horizontal="center"/>
    </xf>
    <xf numFmtId="0" fontId="45" fillId="0" borderId="0" xfId="0" quotePrefix="1" applyNumberFormat="1" applyFont="1" applyBorder="1" applyAlignment="1" applyProtection="1">
      <alignment horizontal="center"/>
    </xf>
    <xf numFmtId="164" fontId="64" fillId="0" borderId="0" xfId="0" applyNumberFormat="1" applyFont="1" applyAlignment="1" applyProtection="1"/>
    <xf numFmtId="170" fontId="45" fillId="0" borderId="82" xfId="0" applyNumberFormat="1" applyFont="1" applyBorder="1" applyAlignment="1" applyProtection="1"/>
    <xf numFmtId="164" fontId="65" fillId="0" borderId="86" xfId="0" applyNumberFormat="1" applyFont="1" applyBorder="1" applyAlignment="1" applyProtection="1"/>
    <xf numFmtId="170" fontId="38" fillId="0" borderId="82" xfId="0" applyNumberFormat="1" applyFont="1" applyBorder="1" applyAlignment="1" applyProtection="1"/>
    <xf numFmtId="166" fontId="45" fillId="0" borderId="82" xfId="0" applyNumberFormat="1" applyFont="1" applyBorder="1" applyAlignment="1" applyProtection="1"/>
    <xf numFmtId="164" fontId="65" fillId="0" borderId="84" xfId="0" applyNumberFormat="1" applyFont="1" applyBorder="1" applyAlignment="1" applyProtection="1"/>
    <xf numFmtId="174" fontId="45" fillId="0" borderId="81" xfId="0" applyNumberFormat="1" applyFont="1" applyBorder="1" applyAlignment="1" applyProtection="1"/>
    <xf numFmtId="164" fontId="65" fillId="0" borderId="17" xfId="0" applyNumberFormat="1" applyFont="1" applyBorder="1" applyAlignment="1" applyProtection="1"/>
    <xf numFmtId="172" fontId="38" fillId="0" borderId="0" xfId="1940" applyNumberFormat="1" applyFont="1" applyBorder="1" applyAlignment="1" applyProtection="1"/>
    <xf numFmtId="0" fontId="183" fillId="0" borderId="0" xfId="9967"/>
    <xf numFmtId="0" fontId="43" fillId="0" borderId="0" xfId="9967" applyNumberFormat="1" applyFont="1" applyFill="1"/>
    <xf numFmtId="0" fontId="43" fillId="0" borderId="0" xfId="9967" applyNumberFormat="1" applyFont="1" applyFill="1" applyAlignment="1">
      <alignment horizontal="center"/>
    </xf>
    <xf numFmtId="0" fontId="44" fillId="0" borderId="66" xfId="9967" applyNumberFormat="1" applyFont="1" applyFill="1" applyBorder="1" applyAlignment="1">
      <alignment horizontal="center"/>
    </xf>
    <xf numFmtId="0" fontId="43" fillId="0" borderId="92" xfId="9967" applyNumberFormat="1" applyFont="1" applyFill="1" applyBorder="1"/>
    <xf numFmtId="0" fontId="44" fillId="0" borderId="66" xfId="9967" applyNumberFormat="1" applyFont="1" applyFill="1" applyBorder="1" applyAlignment="1">
      <alignment horizontal="centerContinuous"/>
    </xf>
    <xf numFmtId="0" fontId="44" fillId="0" borderId="0" xfId="9967" applyNumberFormat="1" applyFont="1" applyFill="1" applyAlignment="1">
      <alignment horizontal="center"/>
    </xf>
    <xf numFmtId="43" fontId="44" fillId="0" borderId="0" xfId="9967" applyNumberFormat="1" applyFont="1" applyFill="1" applyAlignment="1">
      <alignment horizontal="center"/>
    </xf>
    <xf numFmtId="0" fontId="43" fillId="0" borderId="72" xfId="9967" applyNumberFormat="1" applyFont="1" applyFill="1" applyBorder="1"/>
    <xf numFmtId="0" fontId="44" fillId="0" borderId="0" xfId="9967" quotePrefix="1" applyNumberFormat="1" applyFont="1" applyFill="1" applyAlignment="1">
      <alignment horizontal="center"/>
    </xf>
    <xf numFmtId="170" fontId="38" fillId="0" borderId="0" xfId="2" applyNumberFormat="1" applyFont="1" applyAlignment="1"/>
    <xf numFmtId="170" fontId="45"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9" fillId="0" borderId="0" xfId="2" quotePrefix="1" applyNumberFormat="1" applyFont="1" applyAlignment="1">
      <alignment horizontal="left"/>
    </xf>
    <xf numFmtId="0" fontId="38" fillId="0" borderId="0" xfId="5517" applyFont="1" applyFill="1"/>
    <xf numFmtId="170" fontId="38" fillId="0" borderId="0" xfId="5517" applyNumberFormat="1" applyFont="1" applyFill="1"/>
    <xf numFmtId="186" fontId="44" fillId="0" borderId="68" xfId="860" quotePrefix="1" applyNumberFormat="1" applyFont="1" applyBorder="1" applyAlignment="1">
      <alignment horizontal="centerContinuous"/>
    </xf>
    <xf numFmtId="170" fontId="45" fillId="0" borderId="45" xfId="2" applyNumberFormat="1" applyFont="1" applyFill="1" applyBorder="1" applyAlignment="1"/>
    <xf numFmtId="170" fontId="38" fillId="0" borderId="0" xfId="2" quotePrefix="1" applyNumberFormat="1" applyFont="1" applyFill="1" applyAlignment="1"/>
    <xf numFmtId="0" fontId="45" fillId="0" borderId="0" xfId="2" applyNumberFormat="1" applyFont="1" applyAlignment="1">
      <alignment horizontal="left"/>
    </xf>
    <xf numFmtId="170" fontId="45"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4" fillId="0" borderId="0" xfId="0" applyNumberFormat="1" applyFont="1"/>
    <xf numFmtId="0" fontId="44" fillId="0" borderId="0" xfId="0" quotePrefix="1" applyNumberFormat="1" applyFont="1" applyAlignment="1">
      <alignment horizontal="left"/>
    </xf>
    <xf numFmtId="0" fontId="59" fillId="0" borderId="0" xfId="2" quotePrefix="1" applyNumberFormat="1" applyFont="1" applyAlignment="1">
      <alignment horizontal="center"/>
    </xf>
    <xf numFmtId="44" fontId="43" fillId="0" borderId="0" xfId="0" applyNumberFormat="1" applyFont="1" applyFill="1" applyAlignment="1"/>
    <xf numFmtId="4" fontId="43" fillId="0" borderId="0" xfId="0" applyNumberFormat="1" applyFont="1" applyFill="1" applyAlignment="1">
      <alignment horizontal="right"/>
    </xf>
    <xf numFmtId="43" fontId="43" fillId="0" borderId="0" xfId="0" applyNumberFormat="1" applyFont="1" applyFill="1" applyAlignment="1">
      <alignment horizontal="right"/>
    </xf>
    <xf numFmtId="43" fontId="43" fillId="0" borderId="0" xfId="0" quotePrefix="1" applyNumberFormat="1" applyFont="1" applyFill="1" applyAlignment="1">
      <alignment horizontal="right"/>
    </xf>
    <xf numFmtId="0" fontId="43"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5" fillId="0" borderId="0" xfId="1776" applyNumberFormat="1" applyFont="1" applyFill="1" applyBorder="1" applyAlignment="1">
      <alignment horizontal="center"/>
    </xf>
    <xf numFmtId="0" fontId="50" fillId="0" borderId="0" xfId="8" applyFont="1"/>
    <xf numFmtId="0" fontId="50" fillId="0" borderId="0" xfId="8" applyFont="1" applyFill="1" applyAlignment="1"/>
    <xf numFmtId="0" fontId="98" fillId="0" borderId="0" xfId="8" applyFont="1"/>
    <xf numFmtId="172" fontId="0" fillId="0" borderId="0" xfId="0" applyNumberFormat="1" applyFont="1" applyBorder="1" applyAlignment="1" applyProtection="1"/>
    <xf numFmtId="170" fontId="45" fillId="0" borderId="16" xfId="0" applyNumberFormat="1" applyFont="1" applyFill="1" applyBorder="1" applyAlignment="1" applyProtection="1"/>
    <xf numFmtId="170" fontId="45" fillId="0" borderId="66" xfId="2" applyNumberFormat="1" applyFont="1" applyFill="1" applyBorder="1" applyAlignment="1" applyProtection="1"/>
    <xf numFmtId="170" fontId="77" fillId="0" borderId="0" xfId="2" applyNumberFormat="1" applyFont="1" applyFill="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5" fillId="0" borderId="81" xfId="840" applyNumberFormat="1" applyFont="1" applyBorder="1" applyAlignment="1"/>
    <xf numFmtId="37" fontId="38" fillId="0" borderId="84" xfId="840" applyNumberFormat="1" applyFont="1" applyBorder="1" applyAlignment="1"/>
    <xf numFmtId="41" fontId="38" fillId="0" borderId="84" xfId="11" applyNumberFormat="1" applyFont="1" applyBorder="1" applyAlignment="1"/>
    <xf numFmtId="41" fontId="38" fillId="0" borderId="84" xfId="840" quotePrefix="1" applyNumberFormat="1" applyFont="1" applyBorder="1" applyAlignment="1">
      <alignment horizontal="right"/>
    </xf>
    <xf numFmtId="41" fontId="38" fillId="0" borderId="84" xfId="840" quotePrefix="1" applyNumberFormat="1" applyFont="1" applyBorder="1" applyAlignment="1">
      <alignment horizontal="center"/>
    </xf>
    <xf numFmtId="41" fontId="38" fillId="0" borderId="84" xfId="840" applyNumberFormat="1" applyFont="1" applyBorder="1"/>
    <xf numFmtId="41" fontId="45" fillId="0" borderId="86" xfId="840" quotePrefix="1" applyNumberFormat="1" applyFont="1" applyBorder="1" applyAlignment="1"/>
    <xf numFmtId="41" fontId="45" fillId="0" borderId="86" xfId="840" applyNumberFormat="1" applyFont="1" applyFill="1" applyBorder="1" applyAlignment="1"/>
    <xf numFmtId="41" fontId="45" fillId="0" borderId="86" xfId="840" applyNumberFormat="1" applyFont="1" applyBorder="1" applyAlignment="1"/>
    <xf numFmtId="190" fontId="38" fillId="0" borderId="82" xfId="11" applyNumberFormat="1" applyFont="1" applyBorder="1" applyAlignment="1"/>
    <xf numFmtId="39" fontId="38" fillId="0" borderId="82" xfId="840" applyNumberFormat="1" applyFont="1" applyBorder="1" applyAlignment="1"/>
    <xf numFmtId="170" fontId="62" fillId="0" borderId="0" xfId="2" quotePrefix="1" applyNumberFormat="1" applyFont="1" applyFill="1" applyAlignment="1"/>
    <xf numFmtId="170" fontId="45" fillId="0" borderId="45" xfId="2" applyNumberFormat="1" applyFont="1" applyBorder="1" applyAlignment="1">
      <alignment horizontal="righ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5" fillId="0" borderId="87" xfId="1767" applyNumberFormat="1" applyFont="1" applyFill="1" applyBorder="1" applyAlignment="1" applyProtection="1">
      <alignment horizontal="right"/>
    </xf>
    <xf numFmtId="44" fontId="45" fillId="0" borderId="87" xfId="1767" applyNumberFormat="1" applyFont="1" applyFill="1" applyBorder="1" applyAlignment="1" applyProtection="1">
      <alignment horizontal="right"/>
    </xf>
    <xf numFmtId="164" fontId="167" fillId="0" borderId="0" xfId="0" applyFont="1"/>
    <xf numFmtId="43" fontId="45"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0" fontId="43" fillId="0" borderId="0" xfId="0" applyNumberFormat="1" applyFont="1" applyFill="1" applyBorder="1" applyAlignment="1">
      <alignment horizontal="left" vertical="top" wrapText="1"/>
    </xf>
    <xf numFmtId="165" fontId="187" fillId="0" borderId="0" xfId="840" applyNumberFormat="1" applyFont="1" applyAlignment="1"/>
    <xf numFmtId="165" fontId="38" fillId="0" borderId="0" xfId="0" applyNumberFormat="1" applyFont="1" applyFill="1" applyProtection="1">
      <protection locked="0"/>
    </xf>
    <xf numFmtId="0" fontId="67" fillId="0" borderId="0" xfId="17029" quotePrefix="1" applyNumberFormat="1" applyFont="1" applyFill="1" applyAlignment="1">
      <alignment horizontal="left"/>
    </xf>
    <xf numFmtId="0" fontId="44" fillId="0" borderId="66" xfId="0" applyNumberFormat="1" applyFont="1" applyFill="1" applyBorder="1" applyAlignment="1">
      <alignment horizontal="center"/>
    </xf>
    <xf numFmtId="49" fontId="44" fillId="0" borderId="66" xfId="9967" applyNumberFormat="1" applyFont="1" applyFill="1" applyBorder="1" applyAlignment="1">
      <alignment horizontal="center"/>
    </xf>
    <xf numFmtId="0" fontId="43" fillId="0" borderId="72" xfId="0" applyNumberFormat="1" applyFont="1" applyFill="1" applyBorder="1"/>
    <xf numFmtId="0" fontId="43" fillId="0" borderId="72" xfId="0" applyNumberFormat="1" applyFont="1" applyFill="1" applyBorder="1" applyAlignment="1"/>
    <xf numFmtId="4" fontId="43" fillId="0" borderId="0" xfId="0" applyNumberFormat="1" applyFont="1" applyFill="1"/>
    <xf numFmtId="39" fontId="43" fillId="0" borderId="0" xfId="0" applyNumberFormat="1" applyFont="1" applyFill="1" applyBorder="1" applyAlignment="1"/>
    <xf numFmtId="39" fontId="43" fillId="0" borderId="0" xfId="0" quotePrefix="1" applyNumberFormat="1" applyFont="1" applyFill="1" applyBorder="1" applyAlignment="1">
      <alignment horizontal="right"/>
    </xf>
    <xf numFmtId="4" fontId="43" fillId="0" borderId="0" xfId="0" applyNumberFormat="1" applyFont="1" applyFill="1" applyBorder="1" applyAlignment="1">
      <alignment horizontal="right"/>
    </xf>
    <xf numFmtId="0" fontId="44" fillId="0" borderId="0" xfId="0" applyNumberFormat="1" applyFont="1" applyFill="1" applyAlignment="1">
      <alignment horizontal="right"/>
    </xf>
    <xf numFmtId="0" fontId="44" fillId="0" borderId="0" xfId="0" applyNumberFormat="1" applyFont="1" applyFill="1" applyAlignment="1"/>
    <xf numFmtId="0" fontId="44" fillId="0" borderId="49" xfId="0" applyNumberFormat="1" applyFont="1" applyFill="1" applyBorder="1" applyAlignment="1"/>
    <xf numFmtId="7" fontId="44" fillId="0" borderId="0" xfId="0" applyNumberFormat="1" applyFont="1" applyFill="1"/>
    <xf numFmtId="0" fontId="44" fillId="0" borderId="0" xfId="0" quotePrefix="1" applyNumberFormat="1" applyFont="1" applyFill="1" applyAlignment="1"/>
    <xf numFmtId="0"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7" fontId="44" fillId="0" borderId="0" xfId="0" applyNumberFormat="1" applyFont="1" applyFill="1" applyAlignment="1">
      <alignment horizontal="right" vertical="top"/>
    </xf>
    <xf numFmtId="187" fontId="43" fillId="0" borderId="0" xfId="0" applyNumberFormat="1" applyFont="1" applyFill="1" applyAlignment="1">
      <alignment horizontal="center" vertical="top"/>
    </xf>
    <xf numFmtId="187" fontId="43" fillId="0" borderId="0" xfId="0" applyNumberFormat="1" applyFont="1" applyFill="1" applyAlignment="1">
      <alignment horizontal="right" vertical="top"/>
    </xf>
    <xf numFmtId="0" fontId="43" fillId="0" borderId="0" xfId="5508" applyFont="1" applyFill="1" applyBorder="1"/>
    <xf numFmtId="0" fontId="45" fillId="0" borderId="0" xfId="5508" applyFont="1" applyFill="1" applyBorder="1"/>
    <xf numFmtId="0" fontId="44" fillId="0" borderId="0" xfId="5508" applyFont="1" applyFill="1" applyBorder="1"/>
    <xf numFmtId="0" fontId="43" fillId="0" borderId="0" xfId="5508" applyFont="1" applyFill="1" applyBorder="1" applyAlignment="1">
      <alignment horizontal="center"/>
    </xf>
    <xf numFmtId="37" fontId="43" fillId="0" borderId="0" xfId="5508" applyNumberFormat="1" applyFont="1" applyFill="1" applyBorder="1"/>
    <xf numFmtId="0" fontId="38" fillId="0" borderId="0" xfId="5508" applyNumberFormat="1" applyFont="1" applyFill="1" applyBorder="1" applyAlignment="1"/>
    <xf numFmtId="0" fontId="38" fillId="0" borderId="0" xfId="5508" applyFont="1" applyFill="1" applyBorder="1" applyAlignment="1"/>
    <xf numFmtId="170" fontId="45" fillId="0" borderId="0" xfId="2" applyNumberFormat="1" applyFont="1" applyFill="1" applyAlignment="1">
      <alignment vertical="center"/>
    </xf>
    <xf numFmtId="172" fontId="45" fillId="0" borderId="66" xfId="1940" applyNumberFormat="1" applyFont="1" applyBorder="1" applyAlignment="1" applyProtection="1"/>
    <xf numFmtId="0" fontId="139" fillId="0" borderId="0" xfId="8" applyFont="1" applyFill="1" applyAlignment="1"/>
    <xf numFmtId="0" fontId="139" fillId="0" borderId="0" xfId="8" applyFont="1" applyFill="1"/>
    <xf numFmtId="0" fontId="38" fillId="0" borderId="0" xfId="8" applyFont="1" applyFill="1"/>
    <xf numFmtId="191" fontId="50" fillId="0" borderId="0" xfId="8" quotePrefix="1" applyNumberFormat="1" applyFont="1" applyFill="1" applyAlignment="1">
      <alignment horizontal="right"/>
    </xf>
    <xf numFmtId="166" fontId="50" fillId="0" borderId="0" xfId="8" quotePrefix="1" applyNumberFormat="1" applyFont="1" applyFill="1" applyAlignment="1">
      <alignment horizontal="right"/>
    </xf>
    <xf numFmtId="0" fontId="38" fillId="0" borderId="0" xfId="8" applyFont="1" applyFill="1" applyAlignment="1"/>
    <xf numFmtId="166" fontId="50" fillId="0" borderId="0" xfId="8" applyNumberFormat="1" applyFont="1" applyFill="1" applyAlignment="1">
      <alignment horizontal="right" vertical="top"/>
    </xf>
    <xf numFmtId="0" fontId="98" fillId="0" borderId="0" xfId="8" applyFont="1" applyFill="1"/>
    <xf numFmtId="0" fontId="50" fillId="0" borderId="0" xfId="8" applyFont="1" applyFill="1" applyAlignment="1">
      <alignment horizontal="left"/>
    </xf>
    <xf numFmtId="0" fontId="165" fillId="0" borderId="0" xfId="8" applyFont="1" applyFill="1"/>
    <xf numFmtId="165" fontId="50" fillId="0" borderId="0" xfId="8" quotePrefix="1" applyNumberFormat="1" applyFont="1" applyFill="1" applyAlignment="1">
      <alignment horizontal="right"/>
    </xf>
    <xf numFmtId="0" fontId="50" fillId="0" borderId="0" xfId="8" quotePrefix="1" applyFont="1" applyFill="1" applyAlignment="1"/>
    <xf numFmtId="0" fontId="114" fillId="0" borderId="0" xfId="8" quotePrefix="1" applyNumberFormat="1" applyFont="1" applyFill="1" applyAlignment="1">
      <alignment horizontal="right"/>
    </xf>
    <xf numFmtId="0" fontId="138" fillId="0" borderId="0" xfId="8" applyFont="1" applyFill="1" applyAlignment="1">
      <alignment horizontal="left"/>
    </xf>
    <xf numFmtId="0" fontId="114" fillId="0" borderId="0" xfId="8" quotePrefix="1" applyFont="1" applyFill="1" applyAlignment="1">
      <alignment horizontal="right"/>
    </xf>
    <xf numFmtId="0" fontId="147" fillId="0" borderId="0" xfId="861" applyNumberFormat="1" applyBorder="1" applyAlignment="1" applyProtection="1"/>
    <xf numFmtId="0" fontId="45" fillId="0" borderId="0" xfId="1776" applyNumberFormat="1" applyFont="1" applyAlignment="1">
      <alignment horizontal="center"/>
    </xf>
    <xf numFmtId="170" fontId="60" fillId="0" borderId="0" xfId="2" applyNumberFormat="1" applyFont="1" applyFill="1" applyAlignment="1"/>
    <xf numFmtId="0" fontId="45" fillId="0" borderId="66" xfId="2" applyFont="1" applyFill="1" applyBorder="1" applyAlignment="1">
      <alignment horizontal="center"/>
    </xf>
    <xf numFmtId="0" fontId="38" fillId="0" borderId="66" xfId="2" applyFont="1" applyFill="1" applyBorder="1" applyAlignment="1">
      <alignment horizontal="center"/>
    </xf>
    <xf numFmtId="37" fontId="45" fillId="0" borderId="66" xfId="2" quotePrefix="1" applyNumberFormat="1" applyFont="1" applyBorder="1" applyAlignment="1">
      <alignment horizontal="center"/>
    </xf>
    <xf numFmtId="37" fontId="66" fillId="0" borderId="0" xfId="2" applyNumberFormat="1" applyFont="1" applyFill="1"/>
    <xf numFmtId="37" fontId="43" fillId="0" borderId="20" xfId="2" applyNumberFormat="1" applyFont="1" applyFill="1" applyBorder="1" applyAlignment="1"/>
    <xf numFmtId="37" fontId="38" fillId="0" borderId="0" xfId="2" applyNumberFormat="1" applyFont="1" applyFill="1" applyAlignment="1"/>
    <xf numFmtId="170" fontId="45" fillId="0" borderId="0" xfId="2" quotePrefix="1" applyNumberFormat="1" applyFont="1" applyFill="1" applyBorder="1" applyAlignment="1">
      <alignment horizontal="center"/>
    </xf>
    <xf numFmtId="37" fontId="38" fillId="0" borderId="0" xfId="2" quotePrefix="1" applyNumberFormat="1" applyFont="1" applyFill="1" applyAlignment="1">
      <alignment horizontal="center"/>
    </xf>
    <xf numFmtId="41" fontId="43" fillId="0" borderId="0" xfId="0" applyNumberFormat="1" applyFont="1" applyFill="1"/>
    <xf numFmtId="167" fontId="38" fillId="0" borderId="0" xfId="2" quotePrefix="1" applyNumberFormat="1" applyFont="1" applyAlignment="1">
      <alignment horizontal="center"/>
    </xf>
    <xf numFmtId="194" fontId="38" fillId="0" borderId="0" xfId="2" quotePrefix="1" applyNumberFormat="1" applyFont="1" applyAlignment="1">
      <alignment horizontal="center"/>
    </xf>
    <xf numFmtId="0" fontId="138" fillId="0" borderId="0" xfId="8" applyFont="1" applyFill="1" applyAlignment="1"/>
    <xf numFmtId="169" fontId="50" fillId="0" borderId="0" xfId="8" quotePrefix="1" applyNumberFormat="1" applyFont="1" applyFill="1" applyAlignment="1">
      <alignment horizontal="right"/>
    </xf>
    <xf numFmtId="164" fontId="40" fillId="0" borderId="0" xfId="0" applyNumberFormat="1" applyFont="1" applyFill="1" applyBorder="1" applyAlignment="1" applyProtection="1"/>
    <xf numFmtId="170" fontId="38" fillId="0" borderId="0" xfId="2" applyNumberFormat="1" applyFont="1" applyFill="1"/>
    <xf numFmtId="170" fontId="45"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2" fillId="0" borderId="0" xfId="2" applyNumberFormat="1" applyFont="1" applyFill="1" applyBorder="1" applyAlignment="1"/>
    <xf numFmtId="164" fontId="169" fillId="0" borderId="0" xfId="1940" applyNumberFormat="1" applyFont="1" applyFill="1" applyAlignment="1"/>
    <xf numFmtId="170" fontId="62"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2"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8" fillId="0" borderId="0" xfId="1767" applyNumberFormat="1" applyFont="1" applyFill="1" applyAlignment="1">
      <alignment horizontal="left"/>
    </xf>
    <xf numFmtId="177" fontId="38"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69" fillId="0" borderId="0" xfId="2" applyNumberFormat="1" applyFont="1" applyFill="1" applyBorder="1" applyAlignment="1"/>
    <xf numFmtId="177" fontId="38"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8" fillId="0" borderId="10" xfId="2" quotePrefix="1" applyNumberFormat="1" applyFont="1" applyFill="1" applyBorder="1" applyAlignment="1">
      <alignment horizontal="right"/>
    </xf>
    <xf numFmtId="170" fontId="38"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8" fillId="0" borderId="0" xfId="740" applyNumberFormat="1" applyFont="1" applyFill="1" applyAlignment="1">
      <alignment horizontal="right"/>
    </xf>
    <xf numFmtId="177" fontId="38" fillId="0" borderId="0" xfId="1767" applyNumberFormat="1" applyFont="1" applyFill="1" applyAlignment="1">
      <alignment horizontal="center"/>
    </xf>
    <xf numFmtId="177" fontId="38" fillId="0" borderId="0" xfId="1767" applyNumberFormat="1" applyFont="1" applyFill="1" applyAlignment="1"/>
    <xf numFmtId="177" fontId="38" fillId="0" borderId="0" xfId="1767" quotePrefix="1" applyNumberFormat="1" applyFont="1" applyFill="1" applyAlignment="1">
      <alignment horizontal="center"/>
    </xf>
    <xf numFmtId="166" fontId="38" fillId="0" borderId="0" xfId="2" applyNumberFormat="1" applyFont="1" applyFill="1" applyBorder="1"/>
    <xf numFmtId="164" fontId="38" fillId="0" borderId="0" xfId="0" applyNumberFormat="1" applyFont="1" applyFill="1" applyBorder="1" applyAlignment="1" applyProtection="1"/>
    <xf numFmtId="164" fontId="38" fillId="0" borderId="0" xfId="0" applyNumberFormat="1" applyFont="1" applyFill="1" applyBorder="1" applyAlignment="1" applyProtection="1">
      <protection locked="0"/>
    </xf>
    <xf numFmtId="0" fontId="40" fillId="0" borderId="0" xfId="2" quotePrefix="1" applyNumberFormat="1" applyFont="1" applyFill="1" applyAlignment="1">
      <alignment horizontal="left"/>
    </xf>
    <xf numFmtId="164" fontId="40" fillId="0" borderId="0" xfId="0" applyNumberFormat="1" applyFont="1" applyFill="1" applyBorder="1" applyAlignment="1" applyProtection="1">
      <protection locked="0"/>
    </xf>
    <xf numFmtId="164" fontId="40" fillId="0" borderId="66" xfId="0" applyNumberFormat="1" applyFont="1" applyFill="1" applyBorder="1" applyAlignment="1" applyProtection="1">
      <protection locked="0"/>
    </xf>
    <xf numFmtId="172" fontId="38" fillId="0" borderId="0" xfId="0" applyNumberFormat="1" applyFont="1" applyFill="1" applyBorder="1" applyAlignment="1" applyProtection="1"/>
    <xf numFmtId="164" fontId="38"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5" fillId="0" borderId="95" xfId="840" applyNumberFormat="1" applyFont="1" applyFill="1" applyBorder="1" applyAlignment="1"/>
    <xf numFmtId="165" fontId="41"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3" fillId="0" borderId="0" xfId="840" applyNumberFormat="1" applyFont="1" applyFill="1" applyAlignment="1"/>
    <xf numFmtId="40" fontId="43"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2" fillId="0" borderId="0" xfId="11" applyNumberFormat="1" applyFont="1" applyFill="1" applyAlignment="1">
      <alignment horizontal="right"/>
    </xf>
    <xf numFmtId="40" fontId="38" fillId="0" borderId="0" xfId="840" applyNumberFormat="1" applyFont="1" applyFill="1" applyAlignment="1">
      <alignment horizontal="center"/>
    </xf>
    <xf numFmtId="40" fontId="45" fillId="0" borderId="0" xfId="840" applyNumberFormat="1" applyFont="1" applyFill="1" applyAlignment="1"/>
    <xf numFmtId="190" fontId="38"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8" fillId="0" borderId="0" xfId="840" quotePrefix="1" applyNumberFormat="1" applyFont="1" applyFill="1" applyAlignment="1">
      <alignment horizontal="center"/>
    </xf>
    <xf numFmtId="165" fontId="43" fillId="0" borderId="0" xfId="840" applyNumberFormat="1" applyFont="1" applyFill="1" applyAlignment="1"/>
    <xf numFmtId="40" fontId="45" fillId="0" borderId="0" xfId="840" quotePrefix="1" applyNumberFormat="1" applyFont="1" applyFill="1" applyBorder="1" applyAlignment="1">
      <alignment horizontal="left"/>
    </xf>
    <xf numFmtId="40" fontId="45" fillId="0" borderId="0" xfId="840" applyNumberFormat="1" applyFont="1" applyFill="1" applyBorder="1" applyAlignment="1">
      <alignment horizontal="left"/>
    </xf>
    <xf numFmtId="165" fontId="38" fillId="0" borderId="0" xfId="840" applyNumberFormat="1" applyFont="1" applyFill="1" applyAlignment="1"/>
    <xf numFmtId="0" fontId="45" fillId="0" borderId="0" xfId="840" quotePrefix="1" applyNumberFormat="1" applyFont="1" applyFill="1" applyAlignment="1">
      <alignment horizontal="center"/>
    </xf>
    <xf numFmtId="39" fontId="45" fillId="0" borderId="0" xfId="840" quotePrefix="1" applyNumberFormat="1" applyFont="1" applyFill="1" applyAlignment="1">
      <alignment horizontal="center"/>
    </xf>
    <xf numFmtId="40" fontId="45" fillId="0" borderId="0" xfId="840" applyNumberFormat="1" applyFont="1" applyFill="1" applyAlignment="1">
      <alignment horizontal="center"/>
    </xf>
    <xf numFmtId="40" fontId="45" fillId="0" borderId="0" xfId="840" applyNumberFormat="1" applyFont="1" applyFill="1" applyBorder="1" applyAlignment="1">
      <alignment horizontal="center"/>
    </xf>
    <xf numFmtId="186" fontId="45" fillId="0" borderId="0" xfId="840" quotePrefix="1" applyNumberFormat="1" applyFont="1" applyFill="1" applyBorder="1" applyAlignment="1">
      <alignment horizontal="center"/>
    </xf>
    <xf numFmtId="39" fontId="38" fillId="0" borderId="20" xfId="840" applyNumberFormat="1" applyFont="1" applyFill="1" applyBorder="1" applyAlignment="1"/>
    <xf numFmtId="39" fontId="38" fillId="0" borderId="0" xfId="840" applyNumberFormat="1" applyFont="1" applyFill="1" applyBorder="1" applyAlignment="1"/>
    <xf numFmtId="40" fontId="38" fillId="0" borderId="0" xfId="840" applyNumberFormat="1" applyFont="1" applyFill="1" applyAlignment="1"/>
    <xf numFmtId="190" fontId="38" fillId="0" borderId="20" xfId="11" applyNumberFormat="1" applyFont="1" applyFill="1" applyBorder="1" applyAlignment="1"/>
    <xf numFmtId="165" fontId="66" fillId="0" borderId="0" xfId="840" applyNumberFormat="1" applyFont="1" applyFill="1" applyBorder="1" applyAlignment="1"/>
    <xf numFmtId="42" fontId="38" fillId="0" borderId="0" xfId="840" applyNumberFormat="1" applyFont="1" applyFill="1" applyAlignment="1"/>
    <xf numFmtId="165" fontId="76" fillId="0" borderId="0" xfId="840" applyNumberFormat="1" applyFont="1" applyFill="1" applyAlignment="1"/>
    <xf numFmtId="0" fontId="38" fillId="0" borderId="0" xfId="840" applyNumberFormat="1" applyFont="1" applyFill="1" applyAlignment="1"/>
    <xf numFmtId="37" fontId="38" fillId="0" borderId="0" xfId="840" applyNumberFormat="1" applyFont="1" applyFill="1" applyBorder="1" applyAlignment="1"/>
    <xf numFmtId="190" fontId="38" fillId="0" borderId="0" xfId="11" applyNumberFormat="1" applyFont="1" applyFill="1" applyAlignment="1"/>
    <xf numFmtId="41" fontId="38" fillId="0" borderId="0" xfId="840" applyNumberFormat="1" applyFont="1" applyFill="1" applyAlignment="1">
      <alignment horizontal="center"/>
    </xf>
    <xf numFmtId="41" fontId="45"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5" fillId="0" borderId="95" xfId="840" quotePrefix="1" applyNumberFormat="1" applyFont="1" applyFill="1" applyBorder="1" applyAlignment="1"/>
    <xf numFmtId="41" fontId="45" fillId="0" borderId="16" xfId="840" quotePrefix="1" applyNumberFormat="1" applyFont="1" applyFill="1" applyBorder="1" applyAlignment="1"/>
    <xf numFmtId="41" fontId="38" fillId="0" borderId="84" xfId="840" quotePrefix="1" applyNumberFormat="1" applyFont="1" applyFill="1" applyBorder="1" applyAlignment="1">
      <alignment horizontal="center"/>
    </xf>
    <xf numFmtId="41" fontId="38" fillId="0" borderId="19" xfId="11" applyNumberFormat="1" applyFont="1" applyFill="1" applyBorder="1" applyAlignment="1"/>
    <xf numFmtId="41" fontId="45" fillId="0" borderId="66" xfId="840" applyNumberFormat="1" applyFont="1" applyFill="1" applyBorder="1" applyAlignment="1"/>
    <xf numFmtId="190" fontId="38" fillId="0" borderId="0" xfId="11" applyNumberFormat="1" applyFont="1" applyFill="1" applyBorder="1" applyAlignment="1"/>
    <xf numFmtId="42" fontId="45" fillId="0" borderId="81" xfId="840" applyNumberFormat="1" applyFont="1" applyFill="1" applyBorder="1" applyAlignment="1"/>
    <xf numFmtId="40" fontId="38" fillId="0" borderId="0" xfId="840" applyNumberFormat="1" applyFont="1" applyFill="1" applyBorder="1" applyAlignment="1"/>
    <xf numFmtId="0" fontId="43" fillId="0" borderId="0" xfId="840" applyNumberFormat="1" applyFont="1" applyFill="1" applyAlignment="1">
      <alignment horizontal="left"/>
    </xf>
    <xf numFmtId="39" fontId="38" fillId="0" borderId="0" xfId="840" applyNumberFormat="1" applyFont="1" applyFill="1" applyAlignment="1"/>
    <xf numFmtId="0" fontId="62" fillId="0" borderId="0" xfId="840" quotePrefix="1" applyNumberFormat="1" applyFont="1" applyFill="1" applyAlignment="1">
      <alignment horizontal="left"/>
    </xf>
    <xf numFmtId="190" fontId="43"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8" fillId="0" borderId="0" xfId="0" applyNumberFormat="1" applyFont="1" applyFill="1" applyAlignment="1" applyProtection="1"/>
    <xf numFmtId="170" fontId="38" fillId="0" borderId="0" xfId="0" quotePrefix="1" applyNumberFormat="1" applyFont="1" applyFill="1" applyAlignment="1" applyProtection="1">
      <alignment horizontal="right"/>
    </xf>
    <xf numFmtId="170" fontId="38" fillId="0" borderId="0" xfId="0" quotePrefix="1" applyNumberFormat="1" applyFont="1" applyFill="1" applyAlignment="1" applyProtection="1">
      <alignment horizontal="center"/>
    </xf>
    <xf numFmtId="170" fontId="38" fillId="0" borderId="0"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xf numFmtId="170" fontId="40" fillId="0" borderId="0" xfId="2" applyNumberFormat="1" applyFont="1" applyFill="1" applyBorder="1"/>
    <xf numFmtId="172" fontId="0" fillId="0" borderId="0" xfId="0" applyNumberFormat="1" applyFont="1" applyFill="1" applyBorder="1" applyAlignment="1" applyProtection="1"/>
    <xf numFmtId="165" fontId="38" fillId="0" borderId="0" xfId="0" applyNumberFormat="1" applyFont="1" applyFill="1" applyAlignment="1"/>
    <xf numFmtId="174" fontId="38" fillId="0" borderId="0" xfId="5517" applyNumberFormat="1" applyFont="1" applyFill="1"/>
    <xf numFmtId="166" fontId="38" fillId="0" borderId="0" xfId="2" applyNumberFormat="1" applyFont="1" applyFill="1" applyAlignment="1">
      <alignment horizontal="right"/>
    </xf>
    <xf numFmtId="164" fontId="0" fillId="0" borderId="0" xfId="2" applyNumberFormat="1" applyFont="1" applyFill="1" applyBorder="1" applyProtection="1"/>
    <xf numFmtId="174" fontId="38" fillId="0" borderId="0" xfId="0" quotePrefix="1" applyNumberFormat="1" applyFont="1" applyFill="1" applyAlignment="1" applyProtection="1">
      <alignment horizontal="left"/>
    </xf>
    <xf numFmtId="170" fontId="45" fillId="0" borderId="85" xfId="0" applyNumberFormat="1" applyFont="1" applyFill="1" applyBorder="1" applyAlignment="1" applyProtection="1"/>
    <xf numFmtId="170" fontId="38" fillId="0" borderId="82" xfId="0" quotePrefix="1" applyNumberFormat="1" applyFont="1" applyFill="1" applyBorder="1" applyAlignment="1" applyProtection="1">
      <alignment horizontal="center"/>
    </xf>
    <xf numFmtId="170" fontId="45" fillId="0" borderId="82" xfId="0" applyNumberFormat="1" applyFont="1" applyFill="1" applyBorder="1" applyAlignment="1" applyProtection="1"/>
    <xf numFmtId="170" fontId="38" fillId="0" borderId="82" xfId="0" applyNumberFormat="1" applyFont="1" applyFill="1" applyBorder="1" applyAlignment="1" applyProtection="1"/>
    <xf numFmtId="170" fontId="45" fillId="0" borderId="82"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alignment horizontal="right"/>
    </xf>
    <xf numFmtId="170" fontId="38" fillId="0" borderId="0" xfId="0" quotePrefix="1" applyNumberFormat="1" applyFont="1" applyFill="1" applyAlignment="1" applyProtection="1"/>
    <xf numFmtId="167" fontId="40" fillId="0" borderId="0" xfId="0" applyNumberFormat="1" applyFont="1" applyFill="1" applyBorder="1" applyAlignment="1" applyProtection="1"/>
    <xf numFmtId="9" fontId="43" fillId="0" borderId="0" xfId="2" applyNumberFormat="1" applyFont="1" applyFill="1" applyAlignment="1"/>
    <xf numFmtId="166" fontId="40" fillId="0" borderId="47" xfId="2" applyNumberFormat="1" applyFont="1" applyFill="1" applyBorder="1" applyAlignment="1"/>
    <xf numFmtId="165" fontId="38" fillId="0" borderId="0" xfId="2" applyNumberFormat="1" applyFont="1" applyFill="1" applyAlignment="1">
      <alignment horizontal="right"/>
    </xf>
    <xf numFmtId="164" fontId="38" fillId="0" borderId="0" xfId="2" applyNumberFormat="1" applyFont="1" applyFill="1" applyAlignment="1" applyProtection="1">
      <alignment horizontal="right"/>
    </xf>
    <xf numFmtId="164" fontId="38" fillId="0" borderId="66" xfId="0" applyNumberFormat="1" applyFont="1" applyFill="1" applyBorder="1" applyAlignment="1" applyProtection="1"/>
    <xf numFmtId="3" fontId="40" fillId="0" borderId="0" xfId="2" applyNumberFormat="1" applyFont="1" applyFill="1" applyAlignment="1"/>
    <xf numFmtId="3" fontId="40" fillId="0" borderId="0" xfId="2" applyNumberFormat="1" applyFont="1" applyFill="1" applyAlignment="1">
      <alignment horizontal="left"/>
    </xf>
    <xf numFmtId="164" fontId="38" fillId="0" borderId="0" xfId="2" applyNumberFormat="1" applyFont="1" applyFill="1" applyBorder="1" applyAlignment="1" applyProtection="1">
      <alignment horizontal="right"/>
    </xf>
    <xf numFmtId="165" fontId="40" fillId="0" borderId="0" xfId="2" applyNumberFormat="1" applyFont="1" applyFill="1" applyAlignment="1">
      <alignment horizontal="left"/>
    </xf>
    <xf numFmtId="170" fontId="45" fillId="0" borderId="47" xfId="2" applyNumberFormat="1" applyFont="1" applyFill="1" applyBorder="1" applyAlignment="1"/>
    <xf numFmtId="164" fontId="38" fillId="0" borderId="0" xfId="2" applyNumberFormat="1" applyFont="1" applyFill="1" applyAlignment="1" applyProtection="1"/>
    <xf numFmtId="164" fontId="43" fillId="0" borderId="0" xfId="2" applyNumberFormat="1" applyFont="1" applyFill="1" applyAlignment="1"/>
    <xf numFmtId="164" fontId="45" fillId="0" borderId="45" xfId="2" applyNumberFormat="1" applyFont="1" applyFill="1" applyBorder="1" applyAlignment="1" applyProtection="1"/>
    <xf numFmtId="164" fontId="45" fillId="0" borderId="0" xfId="2" applyNumberFormat="1" applyFont="1" applyFill="1" applyBorder="1" applyAlignment="1" applyProtection="1"/>
    <xf numFmtId="164" fontId="38" fillId="0" borderId="0" xfId="2" applyNumberFormat="1" applyFont="1" applyFill="1" applyAlignment="1" applyProtection="1">
      <protection locked="0"/>
    </xf>
    <xf numFmtId="172" fontId="38" fillId="0" borderId="0" xfId="2" applyNumberFormat="1" applyFont="1" applyFill="1" applyAlignment="1" applyProtection="1">
      <protection locked="0"/>
    </xf>
    <xf numFmtId="0" fontId="48" fillId="0" borderId="0" xfId="2" applyNumberFormat="1" applyFont="1" applyFill="1" applyAlignment="1"/>
    <xf numFmtId="174" fontId="38" fillId="0" borderId="47" xfId="2" applyNumberFormat="1" applyFont="1" applyFill="1" applyBorder="1" applyAlignment="1">
      <alignment horizontal="center"/>
    </xf>
    <xf numFmtId="164" fontId="45" fillId="0" borderId="0" xfId="2" applyNumberFormat="1" applyFont="1" applyFill="1" applyAlignment="1" applyProtection="1">
      <protection locked="0"/>
    </xf>
    <xf numFmtId="165" fontId="44" fillId="0" borderId="0" xfId="2" applyNumberFormat="1" applyFont="1" applyFill="1" applyAlignment="1"/>
    <xf numFmtId="164" fontId="38" fillId="0" borderId="0" xfId="0" applyNumberFormat="1" applyFont="1" applyFill="1" applyProtection="1">
      <protection locked="0"/>
    </xf>
    <xf numFmtId="172" fontId="38" fillId="0" borderId="0" xfId="2" applyNumberFormat="1" applyFont="1" applyFill="1" applyAlignment="1" applyProtection="1"/>
    <xf numFmtId="174" fontId="38" fillId="0" borderId="0" xfId="0" quotePrefix="1" applyNumberFormat="1" applyFont="1" applyFill="1" applyBorder="1" applyAlignment="1" applyProtection="1"/>
    <xf numFmtId="164" fontId="38" fillId="0" borderId="0" xfId="0" quotePrefix="1" applyNumberFormat="1" applyFont="1" applyFill="1" applyBorder="1" applyAlignment="1" applyProtection="1"/>
    <xf numFmtId="164" fontId="64" fillId="0" borderId="0" xfId="0" applyNumberFormat="1" applyFont="1" applyFill="1" applyAlignment="1" applyProtection="1"/>
    <xf numFmtId="164" fontId="64" fillId="0" borderId="66" xfId="0" applyNumberFormat="1" applyFont="1" applyFill="1" applyBorder="1" applyAlignment="1" applyProtection="1"/>
    <xf numFmtId="170" fontId="45" fillId="0" borderId="86" xfId="0" applyNumberFormat="1" applyFont="1" applyFill="1" applyBorder="1" applyAlignment="1" applyProtection="1"/>
    <xf numFmtId="164" fontId="65" fillId="0" borderId="86" xfId="0" applyNumberFormat="1" applyFont="1" applyFill="1" applyBorder="1" applyAlignment="1" applyProtection="1"/>
    <xf numFmtId="39" fontId="43" fillId="0" borderId="0" xfId="0" quotePrefix="1" applyNumberFormat="1" applyFont="1" applyFill="1" applyAlignment="1">
      <alignment horizontal="right"/>
    </xf>
    <xf numFmtId="170" fontId="45" fillId="0" borderId="70" xfId="2" applyNumberFormat="1" applyFont="1" applyBorder="1" applyAlignment="1"/>
    <xf numFmtId="170" fontId="45" fillId="0" borderId="70" xfId="2" applyNumberFormat="1" applyFont="1" applyFill="1" applyBorder="1" applyAlignment="1"/>
    <xf numFmtId="170" fontId="0" fillId="0" borderId="0" xfId="0" applyNumberFormat="1" applyFont="1" applyAlignment="1" applyProtection="1">
      <alignment horizontal="right"/>
      <protection locked="0"/>
    </xf>
    <xf numFmtId="166" fontId="38" fillId="0" borderId="20" xfId="2" applyNumberFormat="1" applyFont="1" applyBorder="1" applyAlignment="1"/>
    <xf numFmtId="170" fontId="45" fillId="0" borderId="66" xfId="5517" applyNumberFormat="1" applyFont="1" applyFill="1" applyBorder="1"/>
    <xf numFmtId="166" fontId="38" fillId="0" borderId="0" xfId="2" applyNumberFormat="1" applyFont="1" applyAlignment="1" applyProtection="1"/>
    <xf numFmtId="170" fontId="45" fillId="0" borderId="45" xfId="1046" applyNumberFormat="1" applyFont="1" applyFill="1" applyBorder="1"/>
    <xf numFmtId="170" fontId="45"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5" fillId="0" borderId="81" xfId="2" applyNumberFormat="1" applyFont="1" applyFill="1" applyBorder="1" applyAlignment="1"/>
    <xf numFmtId="0" fontId="45" fillId="0" borderId="0" xfId="2" applyNumberFormat="1" applyFont="1" applyFill="1" applyBorder="1" applyAlignment="1" applyProtection="1"/>
    <xf numFmtId="167" fontId="45" fillId="0" borderId="0" xfId="2" applyNumberFormat="1" applyFont="1" applyFill="1" applyAlignment="1"/>
    <xf numFmtId="167" fontId="45" fillId="0" borderId="0" xfId="2" applyNumberFormat="1" applyFont="1" applyFill="1" applyBorder="1"/>
    <xf numFmtId="174" fontId="45" fillId="0" borderId="0" xfId="2" applyNumberFormat="1" applyFont="1" applyBorder="1" applyAlignment="1">
      <alignment horizontal="center"/>
    </xf>
    <xf numFmtId="164" fontId="45" fillId="0" borderId="0" xfId="2" applyNumberFormat="1" applyFont="1" applyFill="1" applyAlignment="1" applyProtection="1"/>
    <xf numFmtId="164" fontId="45" fillId="0" borderId="81" xfId="2" applyNumberFormat="1" applyFont="1" applyBorder="1" applyAlignment="1" applyProtection="1"/>
    <xf numFmtId="196" fontId="43" fillId="0" borderId="0" xfId="2" applyNumberFormat="1" applyFont="1" applyAlignment="1"/>
    <xf numFmtId="172" fontId="45" fillId="0" borderId="66" xfId="2" applyNumberFormat="1" applyFont="1" applyBorder="1" applyAlignment="1" applyProtection="1"/>
    <xf numFmtId="170" fontId="40" fillId="0" borderId="96" xfId="2" applyNumberFormat="1" applyFont="1" applyBorder="1" applyAlignment="1"/>
    <xf numFmtId="174" fontId="45" fillId="0" borderId="81" xfId="2" applyNumberFormat="1" applyFont="1" applyBorder="1" applyAlignment="1"/>
    <xf numFmtId="165" fontId="40" fillId="0" borderId="96" xfId="2" applyNumberFormat="1" applyFont="1" applyBorder="1" applyAlignment="1"/>
    <xf numFmtId="44" fontId="43" fillId="0" borderId="0" xfId="0" applyNumberFormat="1" applyFont="1" applyFill="1"/>
    <xf numFmtId="39" fontId="38" fillId="0" borderId="102" xfId="840" applyNumberFormat="1" applyFont="1" applyBorder="1" applyAlignment="1"/>
    <xf numFmtId="41" fontId="38" fillId="0" borderId="0" xfId="840" quotePrefix="1" applyNumberFormat="1" applyFont="1" applyAlignment="1">
      <alignment horizontal="center"/>
    </xf>
    <xf numFmtId="41" fontId="38" fillId="0" borderId="0" xfId="840" applyNumberFormat="1" applyFont="1" applyBorder="1" applyAlignment="1">
      <alignment horizontal="right"/>
    </xf>
    <xf numFmtId="41" fontId="45" fillId="0" borderId="95" xfId="840" applyNumberFormat="1" applyFont="1" applyBorder="1" applyAlignment="1"/>
    <xf numFmtId="41" fontId="38" fillId="0" borderId="0" xfId="840" quotePrefix="1" applyNumberFormat="1" applyFont="1" applyFill="1" applyAlignment="1"/>
    <xf numFmtId="41" fontId="66" fillId="0" borderId="0" xfId="840" applyNumberFormat="1" applyFont="1" applyAlignment="1"/>
    <xf numFmtId="41" fontId="45" fillId="0" borderId="95" xfId="840" quotePrefix="1" applyNumberFormat="1" applyFont="1" applyBorder="1" applyAlignment="1"/>
    <xf numFmtId="41" fontId="38" fillId="0" borderId="103" xfId="840" quotePrefix="1" applyNumberFormat="1" applyFont="1" applyBorder="1" applyAlignment="1">
      <alignment horizontal="center"/>
    </xf>
    <xf numFmtId="41" fontId="38" fillId="0" borderId="103" xfId="840" quotePrefix="1" applyNumberFormat="1" applyFont="1" applyBorder="1" applyAlignment="1">
      <alignment horizontal="right"/>
    </xf>
    <xf numFmtId="170" fontId="38" fillId="0" borderId="102" xfId="2" applyNumberFormat="1" applyFont="1" applyBorder="1" applyAlignment="1"/>
    <xf numFmtId="170" fontId="45" fillId="0" borderId="104" xfId="2" applyNumberFormat="1" applyFont="1" applyBorder="1" applyAlignment="1"/>
    <xf numFmtId="170" fontId="45" fillId="0" borderId="102" xfId="2" applyNumberFormat="1" applyFont="1" applyBorder="1" applyAlignment="1"/>
    <xf numFmtId="170" fontId="45" fillId="0" borderId="102" xfId="2" applyNumberFormat="1" applyFont="1" applyFill="1" applyBorder="1" applyAlignment="1"/>
    <xf numFmtId="170" fontId="38" fillId="0" borderId="102" xfId="2" applyNumberFormat="1" applyFont="1" applyFill="1" applyBorder="1" applyAlignment="1"/>
    <xf numFmtId="172" fontId="40" fillId="0" borderId="0" xfId="1940" applyNumberFormat="1" applyFont="1" applyBorder="1" applyAlignment="1" applyProtection="1"/>
    <xf numFmtId="170" fontId="45" fillId="0" borderId="0" xfId="2" quotePrefix="1" applyNumberFormat="1" applyFont="1" applyAlignment="1">
      <alignment horizontal="right"/>
    </xf>
    <xf numFmtId="174" fontId="40" fillId="0" borderId="0" xfId="2" applyNumberFormat="1" applyFont="1" applyFill="1" applyAlignment="1"/>
    <xf numFmtId="194" fontId="45" fillId="0" borderId="0" xfId="2" quotePrefix="1" applyNumberFormat="1" applyFont="1" applyAlignment="1">
      <alignment horizontal="center"/>
    </xf>
    <xf numFmtId="198" fontId="38" fillId="0" borderId="0" xfId="739" applyNumberFormat="1" applyFont="1" applyBorder="1" applyAlignment="1" applyProtection="1">
      <protection locked="0"/>
    </xf>
    <xf numFmtId="198" fontId="38"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8" fillId="0" borderId="102" xfId="1776" applyNumberFormat="1" applyFont="1" applyFill="1" applyBorder="1" applyAlignment="1"/>
    <xf numFmtId="43" fontId="45" fillId="0" borderId="98" xfId="1776" applyNumberFormat="1" applyFont="1" applyFill="1" applyBorder="1" applyAlignment="1"/>
    <xf numFmtId="43" fontId="38" fillId="0" borderId="102" xfId="1776" applyNumberFormat="1" applyFont="1" applyFill="1" applyBorder="1" applyAlignment="1"/>
    <xf numFmtId="43" fontId="45" fillId="0" borderId="102" xfId="1776" applyNumberFormat="1" applyFont="1" applyFill="1" applyBorder="1" applyAlignment="1"/>
    <xf numFmtId="43" fontId="45" fillId="0" borderId="95" xfId="1776" applyNumberFormat="1" applyFont="1" applyFill="1" applyBorder="1" applyAlignment="1"/>
    <xf numFmtId="44" fontId="45" fillId="0" borderId="81" xfId="1776" applyNumberFormat="1" applyFont="1" applyFill="1" applyBorder="1" applyAlignment="1">
      <alignment horizontal="right"/>
    </xf>
    <xf numFmtId="39" fontId="38" fillId="0" borderId="102" xfId="1776" applyNumberFormat="1" applyFont="1" applyBorder="1" applyAlignment="1"/>
    <xf numFmtId="43" fontId="45" fillId="0" borderId="95" xfId="1776" applyNumberFormat="1" applyFont="1" applyBorder="1" applyAlignment="1"/>
    <xf numFmtId="43" fontId="38" fillId="0" borderId="102" xfId="1776" applyNumberFormat="1" applyFont="1" applyBorder="1" applyAlignment="1"/>
    <xf numFmtId="0" fontId="45" fillId="0" borderId="102" xfId="17" applyNumberFormat="1" applyFont="1" applyBorder="1" applyAlignment="1"/>
    <xf numFmtId="174" fontId="45" fillId="0" borderId="87" xfId="17" applyNumberFormat="1" applyFont="1" applyBorder="1" applyAlignment="1"/>
    <xf numFmtId="181" fontId="43" fillId="0" borderId="0" xfId="1776" applyNumberFormat="1" applyFont="1" applyAlignment="1"/>
    <xf numFmtId="165" fontId="38"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4" fillId="0" borderId="0" xfId="1776" applyNumberFormat="1" applyFont="1" applyAlignment="1"/>
    <xf numFmtId="181" fontId="62" fillId="0" borderId="0" xfId="1776" applyNumberFormat="1" applyFont="1" applyBorder="1" applyAlignment="1"/>
    <xf numFmtId="181" fontId="43" fillId="0" borderId="0" xfId="1776" applyNumberFormat="1" applyFont="1" applyAlignment="1">
      <alignment horizontal="left" vertical="top" wrapText="1"/>
    </xf>
    <xf numFmtId="181" fontId="43" fillId="0" borderId="0" xfId="1776" quotePrefix="1" applyNumberFormat="1" applyFont="1" applyBorder="1" applyAlignment="1">
      <alignment horizontal="left" wrapText="1"/>
    </xf>
    <xf numFmtId="181" fontId="43" fillId="0" borderId="0" xfId="1776" applyNumberFormat="1" applyFont="1" applyBorder="1" applyAlignment="1"/>
    <xf numFmtId="181" fontId="43" fillId="0" borderId="0" xfId="1776" applyNumberFormat="1" applyFont="1" applyBorder="1" applyAlignment="1">
      <alignment horizontal="right"/>
    </xf>
    <xf numFmtId="39" fontId="43" fillId="0" borderId="0" xfId="1776" applyNumberFormat="1" applyFont="1" applyBorder="1" applyAlignment="1"/>
    <xf numFmtId="39" fontId="43" fillId="0" borderId="0" xfId="1776" applyNumberFormat="1" applyFont="1" applyAlignment="1"/>
    <xf numFmtId="181" fontId="43" fillId="0" borderId="0" xfId="1776" quotePrefix="1"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quotePrefix="1" applyNumberFormat="1" applyFont="1" applyBorder="1" applyAlignment="1">
      <alignment horizontal="right"/>
    </xf>
    <xf numFmtId="181" fontId="44" fillId="0" borderId="0" xfId="1776" quotePrefix="1" applyNumberFormat="1" applyFont="1" applyBorder="1" applyAlignment="1">
      <alignment horizontal="left"/>
    </xf>
    <xf numFmtId="181" fontId="43" fillId="0" borderId="0" xfId="1776"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8" fillId="0" borderId="15" xfId="2" applyNumberFormat="1" applyFont="1" applyFill="1" applyBorder="1" applyAlignment="1">
      <alignment horizontal="right"/>
    </xf>
    <xf numFmtId="170" fontId="40" fillId="0" borderId="0" xfId="1" applyNumberFormat="1" applyFont="1" applyFill="1" applyBorder="1" applyAlignment="1">
      <alignment horizontal="center"/>
    </xf>
    <xf numFmtId="0" fontId="45" fillId="0" borderId="66" xfId="2" applyNumberFormat="1" applyFont="1" applyBorder="1" applyAlignment="1">
      <alignment horizontal="center"/>
    </xf>
    <xf numFmtId="40" fontId="45" fillId="0" borderId="0" xfId="840" quotePrefix="1" applyNumberFormat="1" applyFont="1" applyFill="1" applyAlignment="1">
      <alignment horizontal="center"/>
    </xf>
    <xf numFmtId="37" fontId="38" fillId="0" borderId="0" xfId="2" applyNumberFormat="1" applyFont="1" applyFill="1" applyAlignment="1">
      <alignment horizontal="right"/>
    </xf>
    <xf numFmtId="37" fontId="38" fillId="0" borderId="0" xfId="2" applyNumberFormat="1" applyFont="1" applyFill="1" applyBorder="1" applyAlignment="1"/>
    <xf numFmtId="37" fontId="38" fillId="0" borderId="0" xfId="2" quotePrefix="1" applyNumberFormat="1" applyFont="1" applyFill="1" applyBorder="1" applyAlignment="1">
      <alignment horizontal="center"/>
    </xf>
    <xf numFmtId="37" fontId="38" fillId="0" borderId="0" xfId="2" applyNumberFormat="1" applyFont="1" applyFill="1" applyBorder="1" applyAlignment="1">
      <alignment horizontal="right"/>
    </xf>
    <xf numFmtId="170" fontId="45" fillId="0" borderId="0" xfId="2" quotePrefix="1" applyNumberFormat="1" applyFont="1" applyFill="1" applyAlignment="1">
      <alignment horizontal="right"/>
    </xf>
    <xf numFmtId="37" fontId="38" fillId="0" borderId="0" xfId="2" applyNumberFormat="1" applyFont="1" applyFill="1" applyBorder="1"/>
    <xf numFmtId="0" fontId="38" fillId="0" borderId="0" xfId="1776" applyBorder="1" applyAlignment="1"/>
    <xf numFmtId="181" fontId="43" fillId="0" borderId="0" xfId="1776" applyNumberFormat="1" applyFont="1" applyBorder="1" applyAlignment="1">
      <alignment horizontal="left" vertical="top" wrapText="1"/>
    </xf>
    <xf numFmtId="0" fontId="45" fillId="0" borderId="0" xfId="17" applyNumberFormat="1" applyFont="1" applyAlignment="1">
      <alignment horizontal="left"/>
    </xf>
    <xf numFmtId="0" fontId="38" fillId="0" borderId="0" xfId="17" applyNumberFormat="1" applyFont="1" applyAlignment="1" applyProtection="1">
      <alignment horizontal="left"/>
      <protection locked="0"/>
    </xf>
    <xf numFmtId="0" fontId="45" fillId="0" borderId="0" xfId="17" applyNumberFormat="1" applyFont="1" applyAlignment="1" applyProtection="1">
      <alignment horizontal="left"/>
      <protection locked="0"/>
    </xf>
    <xf numFmtId="190" fontId="167" fillId="0" borderId="0" xfId="1773" applyNumberFormat="1" applyFont="1" applyFill="1"/>
    <xf numFmtId="190" fontId="43" fillId="0" borderId="0" xfId="1773" applyNumberFormat="1" applyFont="1" applyFill="1"/>
    <xf numFmtId="0" fontId="38" fillId="0" borderId="66" xfId="17" applyNumberFormat="1" applyFont="1" applyBorder="1" applyAlignment="1">
      <alignment horizontal="center"/>
    </xf>
    <xf numFmtId="0" fontId="45" fillId="0" borderId="66" xfId="2" applyNumberFormat="1" applyFont="1" applyBorder="1" applyAlignment="1">
      <alignment horizontal="center"/>
    </xf>
    <xf numFmtId="170" fontId="45"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5" fillId="0" borderId="0" xfId="1776" quotePrefix="1" applyNumberFormat="1" applyFont="1" applyFill="1" applyAlignment="1">
      <alignment horizontal="center"/>
    </xf>
    <xf numFmtId="0" fontId="38" fillId="0" borderId="0" xfId="1776" applyFont="1" applyFill="1" applyBorder="1" applyAlignment="1">
      <alignment horizontal="center"/>
    </xf>
    <xf numFmtId="43" fontId="38" fillId="0" borderId="66" xfId="1776" applyNumberFormat="1" applyFont="1" applyFill="1" applyBorder="1" applyAlignment="1" applyProtection="1">
      <alignment horizontal="right"/>
    </xf>
    <xf numFmtId="43" fontId="45" fillId="0" borderId="66" xfId="1776" applyNumberFormat="1" applyFont="1" applyBorder="1" applyAlignment="1"/>
    <xf numFmtId="43" fontId="38" fillId="0" borderId="66" xfId="1776" applyNumberFormat="1" applyFont="1" applyBorder="1" applyAlignment="1"/>
    <xf numFmtId="39" fontId="45" fillId="0" borderId="66" xfId="1776" applyNumberFormat="1" applyFont="1" applyFill="1" applyBorder="1" applyAlignment="1">
      <alignment horizontal="center"/>
    </xf>
    <xf numFmtId="44" fontId="45" fillId="0" borderId="106" xfId="1776" applyNumberFormat="1" applyFont="1" applyFill="1" applyBorder="1" applyAlignment="1"/>
    <xf numFmtId="39" fontId="38" fillId="0" borderId="106" xfId="1776" applyNumberFormat="1" applyFont="1" applyFill="1" applyBorder="1" applyAlignment="1"/>
    <xf numFmtId="43" fontId="38" fillId="0" borderId="106" xfId="1776" applyNumberFormat="1" applyFont="1" applyFill="1" applyBorder="1" applyAlignment="1"/>
    <xf numFmtId="43" fontId="45" fillId="0" borderId="106" xfId="1776" applyNumberFormat="1" applyFont="1" applyFill="1" applyBorder="1" applyAlignment="1"/>
    <xf numFmtId="43" fontId="45" fillId="0" borderId="66" xfId="1776" applyNumberFormat="1" applyFont="1" applyFill="1" applyBorder="1" applyAlignment="1">
      <alignment horizontal="right"/>
    </xf>
    <xf numFmtId="43" fontId="45" fillId="0" borderId="106" xfId="1776" applyNumberFormat="1" applyFont="1" applyFill="1" applyBorder="1" applyAlignment="1">
      <alignment horizontal="right"/>
    </xf>
    <xf numFmtId="43" fontId="38" fillId="0" borderId="106" xfId="1776" applyNumberFormat="1" applyFont="1" applyFill="1" applyBorder="1" applyAlignment="1" applyProtection="1"/>
    <xf numFmtId="43" fontId="38" fillId="0" borderId="66" xfId="1776" applyNumberFormat="1" applyFont="1" applyFill="1" applyBorder="1" applyAlignment="1" applyProtection="1"/>
    <xf numFmtId="43" fontId="38" fillId="0" borderId="106" xfId="1776" applyNumberFormat="1" applyFont="1" applyFill="1" applyBorder="1" applyAlignment="1" applyProtection="1">
      <alignment horizontal="right"/>
    </xf>
    <xf numFmtId="43" fontId="38" fillId="0" borderId="66" xfId="1776" applyNumberFormat="1" applyFont="1" applyFill="1" applyBorder="1" applyAlignment="1"/>
    <xf numFmtId="44" fontId="45" fillId="0" borderId="106" xfId="1776" applyNumberFormat="1" applyFont="1" applyFill="1" applyBorder="1" applyAlignment="1">
      <alignment horizontal="right"/>
    </xf>
    <xf numFmtId="170" fontId="38" fillId="0" borderId="0" xfId="1773" applyNumberFormat="1" applyFont="1" applyFill="1" applyAlignment="1"/>
    <xf numFmtId="170" fontId="67" fillId="0" borderId="98" xfId="2" quotePrefix="1" applyNumberFormat="1" applyFont="1" applyBorder="1" applyAlignment="1">
      <alignment horizontal="center"/>
    </xf>
    <xf numFmtId="166" fontId="40" fillId="0" borderId="28" xfId="2" applyNumberFormat="1" applyFont="1" applyBorder="1" applyAlignment="1"/>
    <xf numFmtId="170" fontId="40" fillId="0" borderId="0" xfId="2" applyNumberFormat="1" applyFont="1" applyFill="1" applyBorder="1" applyAlignment="1" applyProtection="1"/>
    <xf numFmtId="170" fontId="40" fillId="0" borderId="0" xfId="4" applyNumberFormat="1" applyFont="1" applyFill="1" applyProtection="1"/>
    <xf numFmtId="166" fontId="40" fillId="0" borderId="75" xfId="4" applyNumberFormat="1" applyFont="1" applyFill="1" applyBorder="1" applyProtection="1"/>
    <xf numFmtId="166" fontId="40" fillId="0" borderId="0" xfId="4" applyNumberFormat="1" applyFont="1" applyFill="1" applyProtection="1"/>
    <xf numFmtId="166" fontId="40" fillId="0" borderId="79" xfId="4" applyNumberFormat="1" applyFont="1" applyFill="1" applyBorder="1" applyProtection="1"/>
    <xf numFmtId="170" fontId="45" fillId="0" borderId="46" xfId="2" applyNumberFormat="1" applyFont="1" applyBorder="1" applyAlignment="1" applyProtection="1"/>
    <xf numFmtId="170" fontId="45" fillId="0" borderId="10" xfId="5" applyNumberFormat="1" applyFont="1" applyFill="1" applyBorder="1" applyProtection="1"/>
    <xf numFmtId="170" fontId="38" fillId="0" borderId="0" xfId="1046" applyNumberFormat="1" applyFont="1" applyFill="1" applyProtection="1"/>
    <xf numFmtId="170" fontId="40" fillId="0" borderId="75" xfId="4" applyNumberFormat="1" applyFont="1" applyFill="1" applyBorder="1" applyProtection="1"/>
    <xf numFmtId="170" fontId="40" fillId="0" borderId="83" xfId="4" applyNumberFormat="1" applyFont="1" applyFill="1" applyBorder="1" applyProtection="1"/>
    <xf numFmtId="174" fontId="38" fillId="0" borderId="0" xfId="5517" applyNumberFormat="1" applyFont="1" applyFill="1" applyProtection="1"/>
    <xf numFmtId="174" fontId="38" fillId="0" borderId="0" xfId="2" quotePrefix="1" applyNumberFormat="1" applyFont="1" applyFill="1" applyAlignment="1" applyProtection="1"/>
    <xf numFmtId="166" fontId="38" fillId="0" borderId="21" xfId="2" applyNumberFormat="1" applyFont="1" applyBorder="1" applyAlignment="1" applyProtection="1"/>
    <xf numFmtId="166" fontId="64" fillId="0" borderId="0" xfId="2" applyNumberFormat="1" applyFont="1" applyFill="1" applyAlignment="1" applyProtection="1"/>
    <xf numFmtId="166" fontId="40" fillId="0" borderId="0" xfId="2" applyNumberFormat="1" applyFont="1" applyFill="1" applyAlignment="1" applyProtection="1"/>
    <xf numFmtId="166" fontId="40" fillId="0" borderId="0" xfId="2" applyNumberFormat="1" applyFont="1" applyFill="1" applyAlignment="1" applyProtection="1">
      <alignment horizontal="right"/>
    </xf>
    <xf numFmtId="170" fontId="40" fillId="0" borderId="0" xfId="2" quotePrefix="1" applyNumberFormat="1" applyFont="1" applyFill="1" applyAlignment="1" applyProtection="1">
      <alignment horizontal="center"/>
    </xf>
    <xf numFmtId="170" fontId="40" fillId="0" borderId="0" xfId="2" applyNumberFormat="1" applyFont="1" applyFill="1" applyAlignment="1" applyProtection="1">
      <alignment horizontal="right"/>
    </xf>
    <xf numFmtId="170" fontId="40" fillId="0" borderId="0" xfId="2" applyNumberFormat="1" applyFont="1" applyFill="1" applyAlignment="1" applyProtection="1"/>
    <xf numFmtId="166" fontId="40" fillId="0" borderId="21" xfId="2" applyNumberFormat="1" applyFont="1" applyFill="1" applyBorder="1" applyAlignment="1" applyProtection="1"/>
    <xf numFmtId="170" fontId="40" fillId="0" borderId="18" xfId="2" applyNumberFormat="1" applyFont="1" applyFill="1" applyBorder="1" applyAlignment="1" applyProtection="1"/>
    <xf numFmtId="170" fontId="38" fillId="0" borderId="0" xfId="5517" applyNumberFormat="1" applyFont="1" applyFill="1" applyProtection="1"/>
    <xf numFmtId="170" fontId="38" fillId="0" borderId="0" xfId="2" quotePrefix="1" applyNumberFormat="1" applyFont="1" applyFill="1" applyAlignment="1" applyProtection="1"/>
    <xf numFmtId="170" fontId="38" fillId="0" borderId="0" xfId="2" applyNumberFormat="1" applyFont="1" applyFill="1" applyAlignment="1" applyProtection="1"/>
    <xf numFmtId="170" fontId="38" fillId="0" borderId="21" xfId="2" applyNumberFormat="1" applyFont="1" applyFill="1" applyBorder="1" applyAlignment="1" applyProtection="1"/>
    <xf numFmtId="170" fontId="38" fillId="0" borderId="18" xfId="2" applyNumberFormat="1" applyFont="1" applyFill="1" applyBorder="1" applyAlignment="1" applyProtection="1"/>
    <xf numFmtId="170" fontId="45" fillId="0" borderId="45" xfId="2" applyNumberFormat="1" applyFont="1" applyFill="1" applyBorder="1" applyAlignment="1" applyProtection="1">
      <alignment horizontal="right"/>
    </xf>
    <xf numFmtId="170" fontId="45" fillId="0" borderId="0" xfId="2" applyNumberFormat="1" applyFont="1" applyFill="1" applyBorder="1" applyAlignment="1" applyProtection="1">
      <alignment horizontal="right"/>
    </xf>
    <xf numFmtId="170" fontId="40" fillId="0" borderId="20" xfId="2" applyNumberFormat="1" applyFont="1" applyBorder="1" applyAlignment="1" applyProtection="1"/>
    <xf numFmtId="170" fontId="40" fillId="0" borderId="0" xfId="2" applyNumberFormat="1" applyFont="1" applyAlignment="1" applyProtection="1"/>
    <xf numFmtId="170" fontId="40" fillId="0" borderId="0" xfId="2" applyNumberFormat="1" applyFont="1" applyBorder="1" applyAlignment="1" applyProtection="1"/>
    <xf numFmtId="166" fontId="40" fillId="0" borderId="21" xfId="2" applyNumberFormat="1" applyFont="1" applyBorder="1" applyAlignment="1" applyProtection="1"/>
    <xf numFmtId="170" fontId="40" fillId="0" borderId="18" xfId="2" applyNumberFormat="1" applyFont="1" applyBorder="1" applyAlignment="1" applyProtection="1"/>
    <xf numFmtId="166" fontId="45" fillId="0" borderId="0" xfId="2" applyNumberFormat="1" applyFont="1" applyAlignment="1" applyProtection="1"/>
    <xf numFmtId="166" fontId="45" fillId="0" borderId="21" xfId="2" applyNumberFormat="1" applyFont="1" applyBorder="1" applyAlignment="1" applyProtection="1"/>
    <xf numFmtId="170" fontId="45" fillId="0" borderId="18" xfId="2" applyNumberFormat="1" applyFont="1" applyBorder="1" applyAlignment="1" applyProtection="1"/>
    <xf numFmtId="166" fontId="40" fillId="0" borderId="0" xfId="2" applyNumberFormat="1" applyFont="1" applyBorder="1" applyAlignment="1" applyProtection="1"/>
    <xf numFmtId="170" fontId="64" fillId="0" borderId="0" xfId="2" applyNumberFormat="1" applyFont="1" applyFill="1" applyAlignment="1" applyProtection="1">
      <alignment horizontal="right"/>
    </xf>
    <xf numFmtId="170" fontId="40" fillId="0" borderId="0" xfId="2" applyNumberFormat="1" applyFont="1" applyAlignment="1" applyProtection="1">
      <alignment horizontal="right"/>
    </xf>
    <xf numFmtId="170" fontId="45" fillId="0" borderId="40" xfId="2" applyNumberFormat="1" applyFont="1" applyBorder="1" applyAlignment="1" applyProtection="1"/>
    <xf numFmtId="170" fontId="45" fillId="0" borderId="16" xfId="2" applyNumberFormat="1" applyFont="1" applyFill="1" applyBorder="1" applyAlignment="1" applyProtection="1"/>
    <xf numFmtId="166" fontId="40" fillId="0" borderId="0" xfId="2" applyNumberFormat="1" applyFont="1" applyFill="1" applyBorder="1" applyAlignment="1" applyProtection="1"/>
    <xf numFmtId="174" fontId="45" fillId="0" borderId="0" xfId="2" applyNumberFormat="1" applyFont="1" applyBorder="1" applyAlignment="1" applyProtection="1"/>
    <xf numFmtId="170" fontId="45" fillId="0" borderId="66" xfId="2" applyNumberFormat="1" applyFont="1" applyBorder="1" applyAlignment="1" applyProtection="1"/>
    <xf numFmtId="165" fontId="40" fillId="0" borderId="0" xfId="2" applyNumberFormat="1" applyFont="1" applyBorder="1" applyAlignment="1" applyProtection="1"/>
    <xf numFmtId="165" fontId="40" fillId="0" borderId="0" xfId="2" applyNumberFormat="1" applyFont="1" applyAlignment="1" applyProtection="1"/>
    <xf numFmtId="174" fontId="45" fillId="0" borderId="81" xfId="2" applyNumberFormat="1" applyFont="1" applyBorder="1" applyAlignment="1" applyProtection="1"/>
    <xf numFmtId="168" fontId="40" fillId="0" borderId="0" xfId="2" applyNumberFormat="1" applyFont="1" applyAlignment="1" applyProtection="1"/>
    <xf numFmtId="165" fontId="43" fillId="0" borderId="0" xfId="2" applyNumberFormat="1" applyFont="1" applyAlignment="1" applyProtection="1"/>
    <xf numFmtId="174" fontId="38" fillId="0" borderId="0" xfId="2" applyNumberFormat="1" applyFont="1" applyFill="1" applyAlignment="1" applyProtection="1"/>
    <xf numFmtId="174" fontId="38" fillId="0" borderId="18" xfId="2" applyNumberFormat="1" applyFont="1" applyFill="1" applyBorder="1" applyAlignment="1" applyProtection="1"/>
    <xf numFmtId="174" fontId="38" fillId="0" borderId="0" xfId="2" applyNumberFormat="1" applyFont="1" applyFill="1" applyAlignment="1" applyProtection="1">
      <alignment horizontal="right"/>
    </xf>
    <xf numFmtId="174" fontId="45" fillId="0" borderId="0" xfId="2" applyNumberFormat="1" applyFont="1" applyFill="1" applyAlignment="1" applyProtection="1"/>
    <xf numFmtId="174" fontId="45" fillId="0" borderId="0" xfId="2" applyNumberFormat="1" applyFont="1" applyFill="1" applyAlignment="1" applyProtection="1">
      <alignment horizontal="right"/>
    </xf>
    <xf numFmtId="174" fontId="45" fillId="0" borderId="18" xfId="2" applyNumberFormat="1" applyFont="1" applyFill="1" applyBorder="1" applyAlignment="1" applyProtection="1"/>
    <xf numFmtId="170" fontId="38" fillId="0" borderId="0" xfId="2" applyNumberFormat="1" applyFont="1" applyFill="1" applyAlignment="1" applyProtection="1">
      <alignment horizontal="right"/>
    </xf>
    <xf numFmtId="170" fontId="45" fillId="0" borderId="16" xfId="2" applyNumberFormat="1" applyFont="1" applyBorder="1" applyAlignment="1" applyProtection="1"/>
    <xf numFmtId="170" fontId="40" fillId="0" borderId="28" xfId="2" applyNumberFormat="1" applyFont="1" applyBorder="1" applyAlignment="1" applyProtection="1"/>
    <xf numFmtId="170" fontId="45" fillId="0" borderId="16" xfId="5" applyNumberFormat="1" applyFont="1" applyFill="1" applyBorder="1" applyProtection="1"/>
    <xf numFmtId="170" fontId="45" fillId="0" borderId="0" xfId="5" applyNumberFormat="1" applyFont="1" applyFill="1" applyBorder="1" applyProtection="1"/>
    <xf numFmtId="170" fontId="40" fillId="0" borderId="21" xfId="2" applyNumberFormat="1" applyFont="1" applyBorder="1" applyAlignment="1" applyProtection="1"/>
    <xf numFmtId="170" fontId="40" fillId="0" borderId="0" xfId="2" applyNumberFormat="1" applyFont="1" applyAlignment="1" applyProtection="1">
      <alignment horizontal="center"/>
    </xf>
    <xf numFmtId="170" fontId="40" fillId="0" borderId="21" xfId="2" applyNumberFormat="1" applyFont="1" applyFill="1" applyBorder="1" applyAlignment="1" applyProtection="1"/>
    <xf numFmtId="170" fontId="45" fillId="0" borderId="21" xfId="2" applyNumberFormat="1" applyFont="1" applyBorder="1" applyAlignment="1" applyProtection="1"/>
    <xf numFmtId="170" fontId="38" fillId="0" borderId="0" xfId="2" applyNumberFormat="1" applyFont="1" applyFill="1" applyBorder="1" applyAlignment="1" applyProtection="1"/>
    <xf numFmtId="170" fontId="45" fillId="0" borderId="45" xfId="2" applyNumberFormat="1" applyFont="1" applyBorder="1" applyAlignment="1" applyProtection="1"/>
    <xf numFmtId="0" fontId="40" fillId="0" borderId="21" xfId="2" applyNumberFormat="1" applyFont="1" applyBorder="1" applyAlignment="1" applyProtection="1"/>
    <xf numFmtId="0" fontId="40" fillId="0" borderId="0" xfId="2" applyNumberFormat="1" applyFont="1" applyAlignment="1" applyProtection="1"/>
    <xf numFmtId="0" fontId="45" fillId="0" borderId="21" xfId="2" applyNumberFormat="1" applyFont="1" applyBorder="1" applyAlignment="1" applyProtection="1"/>
    <xf numFmtId="0" fontId="40" fillId="0" borderId="18" xfId="2" applyNumberFormat="1" applyFont="1" applyBorder="1" applyAlignment="1" applyProtection="1"/>
    <xf numFmtId="0" fontId="40" fillId="0" borderId="18" xfId="2" applyNumberFormat="1" applyFont="1" applyFill="1" applyBorder="1" applyAlignment="1" applyProtection="1"/>
    <xf numFmtId="170" fontId="38" fillId="0" borderId="28" xfId="2" applyNumberFormat="1" applyFont="1" applyFill="1" applyBorder="1" applyAlignment="1" applyProtection="1"/>
    <xf numFmtId="0" fontId="45" fillId="0" borderId="18" xfId="2" applyNumberFormat="1" applyFont="1" applyBorder="1" applyAlignment="1" applyProtection="1"/>
    <xf numFmtId="170" fontId="45" fillId="0" borderId="0" xfId="2" applyNumberFormat="1" applyFont="1" applyFill="1" applyAlignment="1" applyProtection="1"/>
    <xf numFmtId="170" fontId="40" fillId="0" borderId="20" xfId="2" applyNumberFormat="1" applyFont="1" applyFill="1" applyBorder="1" applyAlignment="1" applyProtection="1"/>
    <xf numFmtId="170" fontId="45" fillId="0" borderId="10" xfId="2" applyNumberFormat="1" applyFont="1" applyBorder="1" applyAlignment="1" applyProtection="1"/>
    <xf numFmtId="166" fontId="45" fillId="0" borderId="0" xfId="2" applyNumberFormat="1" applyFont="1" applyBorder="1" applyAlignment="1" applyProtection="1"/>
    <xf numFmtId="170" fontId="45" fillId="0" borderId="10" xfId="2" applyNumberFormat="1" applyFont="1" applyFill="1" applyBorder="1" applyAlignment="1" applyProtection="1"/>
    <xf numFmtId="174" fontId="38" fillId="0" borderId="0" xfId="2" quotePrefix="1" applyNumberFormat="1" applyFont="1" applyFill="1" applyAlignment="1">
      <alignment horizontal="center"/>
    </xf>
    <xf numFmtId="173" fontId="38" fillId="0" borderId="0" xfId="740" quotePrefix="1" applyNumberFormat="1" applyFont="1" applyFill="1" applyAlignment="1">
      <alignment horizontal="left"/>
    </xf>
    <xf numFmtId="170" fontId="45" fillId="0" borderId="107" xfId="2" applyNumberFormat="1" applyFont="1" applyFill="1" applyBorder="1" applyAlignment="1"/>
    <xf numFmtId="174" fontId="45" fillId="0" borderId="87" xfId="2" applyNumberFormat="1" applyFont="1" applyFill="1" applyBorder="1" applyAlignment="1"/>
    <xf numFmtId="174" fontId="45"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7" fillId="0" borderId="0" xfId="5458" applyNumberFormat="1" applyFont="1" applyFill="1"/>
    <xf numFmtId="0" fontId="155" fillId="0" borderId="0" xfId="5458" applyNumberFormat="1" applyFont="1" applyFill="1"/>
    <xf numFmtId="0" fontId="67"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7"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8" fillId="0" borderId="0" xfId="5458" applyNumberFormat="1"/>
    <xf numFmtId="164" fontId="38" fillId="0" borderId="0" xfId="5458" applyNumberFormat="1"/>
    <xf numFmtId="0" fontId="156" fillId="0" borderId="0" xfId="5458" applyNumberFormat="1" applyFont="1" applyFill="1" applyAlignment="1"/>
    <xf numFmtId="0" fontId="38"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0" fontId="50" fillId="0" borderId="0" xfId="0" applyNumberFormat="1" applyFont="1" applyFill="1" applyBorder="1" applyAlignment="1" applyProtection="1"/>
    <xf numFmtId="0" fontId="50"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68" fillId="0" borderId="66" xfId="1940" applyNumberFormat="1" applyFont="1" applyBorder="1" applyAlignment="1"/>
    <xf numFmtId="170" fontId="40" fillId="0" borderId="0" xfId="2" quotePrefix="1" applyNumberFormat="1" applyFont="1" applyFill="1" applyAlignment="1" applyProtection="1">
      <alignment horizontal="right"/>
    </xf>
    <xf numFmtId="168" fontId="40"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5" fillId="0" borderId="66" xfId="1940" applyNumberFormat="1" applyFont="1" applyBorder="1" applyAlignment="1"/>
    <xf numFmtId="172" fontId="45" fillId="0" borderId="0" xfId="1940" applyNumberFormat="1" applyFont="1" applyBorder="1" applyAlignment="1"/>
    <xf numFmtId="43" fontId="45" fillId="0" borderId="0" xfId="0" applyNumberFormat="1" applyFont="1" applyFill="1" applyBorder="1" applyAlignment="1" applyProtection="1">
      <alignment horizontal="right"/>
    </xf>
    <xf numFmtId="172" fontId="38" fillId="0" borderId="0" xfId="0" applyNumberFormat="1" applyFont="1"/>
    <xf numFmtId="177" fontId="38" fillId="0" borderId="0" xfId="740" applyNumberFormat="1" applyFont="1" applyFill="1" applyBorder="1" applyAlignment="1">
      <alignment horizontal="left"/>
    </xf>
    <xf numFmtId="177" fontId="38" fillId="0" borderId="0" xfId="1767" quotePrefix="1" applyNumberFormat="1" applyFont="1" applyFill="1" applyBorder="1" applyAlignment="1">
      <alignment horizontal="center"/>
    </xf>
    <xf numFmtId="177" fontId="43" fillId="0" borderId="0" xfId="1767" applyNumberFormat="1" applyFont="1" applyFill="1" applyBorder="1" applyAlignment="1">
      <alignment horizontal="center"/>
    </xf>
    <xf numFmtId="177" fontId="98" fillId="0" borderId="0" xfId="740" applyNumberFormat="1" applyFont="1" applyFill="1" applyBorder="1"/>
    <xf numFmtId="177" fontId="38" fillId="0" borderId="0" xfId="1767" applyNumberFormat="1" applyFont="1" applyFill="1" applyBorder="1" applyAlignment="1">
      <alignment horizontal="center"/>
    </xf>
    <xf numFmtId="177" fontId="45" fillId="0" borderId="0" xfId="1767" applyNumberFormat="1" applyFont="1" applyFill="1" applyBorder="1" applyAlignment="1"/>
    <xf numFmtId="177" fontId="38"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8" fillId="0" borderId="0" xfId="0" applyNumberFormat="1" applyFont="1" applyFill="1" applyBorder="1" applyAlignment="1" applyProtection="1">
      <alignment horizontal="left"/>
    </xf>
    <xf numFmtId="170" fontId="60" fillId="0" borderId="0" xfId="2" quotePrefix="1" applyNumberFormat="1" applyFont="1" applyFill="1" applyAlignment="1"/>
    <xf numFmtId="0" fontId="45" fillId="0" borderId="28" xfId="2" applyNumberFormat="1" applyFont="1" applyBorder="1" applyAlignment="1"/>
    <xf numFmtId="0" fontId="38" fillId="0" borderId="0" xfId="17" applyNumberFormat="1" applyFont="1" applyBorder="1" applyAlignment="1">
      <alignment horizontal="center"/>
    </xf>
    <xf numFmtId="165" fontId="85" fillId="0" borderId="0" xfId="2" applyNumberFormat="1" applyFont="1" applyAlignment="1"/>
    <xf numFmtId="174" fontId="67" fillId="0" borderId="0" xfId="2" quotePrefix="1" applyNumberFormat="1" applyFont="1" applyFill="1" applyBorder="1" applyAlignment="1"/>
    <xf numFmtId="174" fontId="40" fillId="0" borderId="0" xfId="2" applyNumberFormat="1" applyFont="1" applyFill="1" applyAlignment="1">
      <alignment horizontal="right"/>
    </xf>
    <xf numFmtId="170" fontId="40" fillId="0" borderId="10" xfId="2" applyNumberFormat="1" applyFont="1" applyFill="1" applyBorder="1" applyAlignment="1">
      <alignment horizontal="right"/>
    </xf>
    <xf numFmtId="170" fontId="40" fillId="0" borderId="0" xfId="2" applyNumberFormat="1" applyFont="1" applyFill="1"/>
    <xf numFmtId="37" fontId="40" fillId="0" borderId="0" xfId="2" applyNumberFormat="1" applyFont="1" applyFill="1" applyBorder="1"/>
    <xf numFmtId="37" fontId="40" fillId="0" borderId="0" xfId="2" applyNumberFormat="1" applyFont="1" applyFill="1"/>
    <xf numFmtId="5" fontId="38" fillId="0" borderId="0" xfId="2" applyNumberFormat="1" applyFont="1" applyFill="1" applyAlignment="1"/>
    <xf numFmtId="170" fontId="0" fillId="0" borderId="0" xfId="2" applyNumberFormat="1" applyFont="1" applyBorder="1" applyAlignment="1">
      <alignment horizontal="center" vertical="top"/>
    </xf>
    <xf numFmtId="170" fontId="40" fillId="0" borderId="46" xfId="2" applyNumberFormat="1" applyFont="1" applyBorder="1" applyAlignment="1" applyProtection="1"/>
    <xf numFmtId="170" fontId="67" fillId="0" borderId="33" xfId="2" applyNumberFormat="1" applyFont="1" applyBorder="1" applyAlignment="1">
      <alignment horizontal="right"/>
    </xf>
    <xf numFmtId="44" fontId="43" fillId="0" borderId="0" xfId="0" applyNumberFormat="1" applyFont="1" applyFill="1" applyAlignment="1">
      <alignment horizontal="right" vertical="top"/>
    </xf>
    <xf numFmtId="44" fontId="44" fillId="0" borderId="0" xfId="0" applyNumberFormat="1" applyFont="1" applyFill="1" applyBorder="1" applyAlignment="1">
      <alignment horizontal="right"/>
    </xf>
    <xf numFmtId="164" fontId="67" fillId="0" borderId="66" xfId="0" applyFont="1" applyBorder="1" applyAlignment="1">
      <alignment horizontal="center"/>
    </xf>
    <xf numFmtId="41" fontId="38" fillId="0" borderId="66" xfId="0" quotePrefix="1" applyNumberFormat="1" applyFont="1" applyBorder="1" applyAlignment="1">
      <alignment horizontal="center"/>
    </xf>
    <xf numFmtId="41" fontId="45" fillId="0" borderId="107" xfId="739" applyNumberFormat="1" applyFont="1" applyBorder="1" applyAlignment="1"/>
    <xf numFmtId="43" fontId="38" fillId="0" borderId="0" xfId="17924" applyFont="1" applyFill="1" applyAlignment="1" applyProtection="1">
      <alignment horizontal="right"/>
    </xf>
    <xf numFmtId="0" fontId="44" fillId="0" borderId="0" xfId="9967" quotePrefix="1" applyNumberFormat="1" applyFont="1" applyFill="1" applyBorder="1" applyAlignment="1">
      <alignment horizontal="center"/>
    </xf>
    <xf numFmtId="166" fontId="40" fillId="0" borderId="106" xfId="4" applyNumberFormat="1" applyFont="1" applyFill="1" applyBorder="1" applyProtection="1"/>
    <xf numFmtId="170" fontId="60" fillId="0" borderId="0" xfId="2" applyNumberFormat="1" applyFont="1" applyFill="1" applyAlignment="1">
      <alignment horizontal="center"/>
    </xf>
    <xf numFmtId="170" fontId="137" fillId="0" borderId="0" xfId="2" applyNumberFormat="1" applyFont="1" applyFill="1" applyAlignment="1"/>
    <xf numFmtId="170" fontId="62" fillId="0" borderId="43" xfId="2" quotePrefix="1" applyNumberFormat="1" applyFont="1" applyBorder="1" applyAlignment="1">
      <alignment horizontal="right"/>
    </xf>
    <xf numFmtId="4" fontId="45" fillId="0" borderId="0" xfId="1028" quotePrefix="1" applyNumberFormat="1" applyFont="1" applyFill="1" applyBorder="1" applyAlignment="1" applyProtection="1">
      <alignment horizontal="left"/>
    </xf>
    <xf numFmtId="181" fontId="45" fillId="0" borderId="0" xfId="1776" quotePrefix="1" applyNumberFormat="1" applyFont="1" applyAlignment="1">
      <alignment horizontal="left"/>
    </xf>
    <xf numFmtId="42" fontId="38" fillId="0" borderId="0" xfId="0" quotePrefix="1" applyNumberFormat="1" applyFont="1" applyBorder="1" applyAlignment="1"/>
    <xf numFmtId="164" fontId="153" fillId="0" borderId="0" xfId="0" applyNumberFormat="1" applyFont="1" applyBorder="1"/>
    <xf numFmtId="191" fontId="50" fillId="0" borderId="0" xfId="8" applyNumberFormat="1" applyFont="1" applyAlignment="1">
      <alignment horizontal="right" vertical="top"/>
    </xf>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40" fillId="0" borderId="20" xfId="2" applyNumberFormat="1" applyFont="1" applyFill="1" applyBorder="1" applyAlignment="1" applyProtection="1"/>
    <xf numFmtId="170" fontId="45" fillId="0" borderId="40" xfId="2" applyNumberFormat="1" applyFont="1" applyFill="1" applyBorder="1" applyAlignment="1" applyProtection="1"/>
    <xf numFmtId="166" fontId="45" fillId="0" borderId="0" xfId="2" applyNumberFormat="1" applyFont="1" applyFill="1" applyAlignment="1" applyProtection="1"/>
    <xf numFmtId="166" fontId="45" fillId="0" borderId="21" xfId="2" applyNumberFormat="1" applyFont="1" applyFill="1" applyBorder="1" applyAlignment="1" applyProtection="1"/>
    <xf numFmtId="166" fontId="45" fillId="0" borderId="0" xfId="2" applyNumberFormat="1" applyFont="1" applyFill="1" applyBorder="1" applyAlignment="1">
      <alignment horizontal="right"/>
    </xf>
    <xf numFmtId="164" fontId="45" fillId="0" borderId="16" xfId="2" applyNumberFormat="1" applyFont="1" applyFill="1" applyBorder="1" applyAlignment="1" applyProtection="1">
      <alignment horizontal="right"/>
    </xf>
    <xf numFmtId="165" fontId="45" fillId="0" borderId="0" xfId="2" applyNumberFormat="1" applyFont="1" applyFill="1" applyBorder="1" applyAlignment="1">
      <alignment horizontal="right"/>
    </xf>
    <xf numFmtId="164" fontId="45" fillId="0" borderId="10" xfId="2" applyNumberFormat="1" applyFont="1" applyFill="1" applyBorder="1" applyAlignment="1" applyProtection="1">
      <alignment horizontal="right"/>
    </xf>
    <xf numFmtId="170" fontId="43" fillId="0" borderId="0" xfId="2" applyNumberFormat="1" applyFont="1" applyFill="1" applyBorder="1" applyAlignment="1"/>
    <xf numFmtId="165" fontId="45" fillId="0" borderId="0" xfId="2" applyNumberFormat="1" applyFont="1" applyFill="1" applyAlignment="1">
      <alignment horizontal="right"/>
    </xf>
    <xf numFmtId="170" fontId="38" fillId="0" borderId="19" xfId="2" applyNumberFormat="1" applyFont="1" applyFill="1" applyBorder="1" applyAlignment="1">
      <alignment horizontal="right"/>
    </xf>
    <xf numFmtId="164" fontId="38" fillId="0" borderId="19" xfId="2" applyNumberFormat="1" applyFont="1" applyFill="1" applyBorder="1" applyAlignment="1" applyProtection="1">
      <alignment horizontal="right"/>
    </xf>
    <xf numFmtId="170" fontId="40" fillId="0" borderId="96" xfId="2" applyNumberFormat="1" applyFont="1" applyFill="1" applyBorder="1" applyAlignment="1" applyProtection="1"/>
    <xf numFmtId="172" fontId="45" fillId="0" borderId="66" xfId="2" applyNumberFormat="1" applyFont="1" applyFill="1" applyBorder="1" applyAlignment="1" applyProtection="1"/>
    <xf numFmtId="165" fontId="40" fillId="0" borderId="0" xfId="2" applyNumberFormat="1" applyFont="1" applyFill="1" applyBorder="1" applyAlignment="1" applyProtection="1"/>
    <xf numFmtId="165" fontId="40" fillId="0" borderId="0" xfId="2" applyNumberFormat="1" applyFont="1" applyFill="1" applyAlignment="1" applyProtection="1"/>
    <xf numFmtId="166" fontId="40" fillId="0" borderId="28" xfId="2" applyNumberFormat="1" applyFont="1" applyFill="1" applyBorder="1" applyAlignment="1" applyProtection="1"/>
    <xf numFmtId="165" fontId="40" fillId="0" borderId="15" xfId="2" applyNumberFormat="1" applyFont="1" applyFill="1" applyBorder="1" applyAlignment="1"/>
    <xf numFmtId="165" fontId="38" fillId="0" borderId="0" xfId="2" applyNumberFormat="1" applyFont="1" applyFill="1" applyBorder="1" applyAlignment="1">
      <alignment horizontal="right"/>
    </xf>
    <xf numFmtId="174" fontId="45" fillId="0" borderId="81" xfId="2" applyNumberFormat="1" applyFont="1" applyFill="1" applyBorder="1" applyAlignment="1" applyProtection="1"/>
    <xf numFmtId="172" fontId="45" fillId="0" borderId="81" xfId="2" applyNumberFormat="1" applyFont="1" applyFill="1" applyBorder="1" applyAlignment="1" applyProtection="1"/>
    <xf numFmtId="168" fontId="40" fillId="0" borderId="0" xfId="2" applyNumberFormat="1" applyFont="1" applyFill="1" applyAlignment="1" applyProtection="1"/>
    <xf numFmtId="165" fontId="43" fillId="0" borderId="0" xfId="2" applyNumberFormat="1" applyFont="1" applyFill="1" applyAlignment="1" applyProtection="1"/>
    <xf numFmtId="164" fontId="43" fillId="0" borderId="0" xfId="2" applyNumberFormat="1" applyFont="1" applyFill="1" applyAlignment="1" applyProtection="1"/>
    <xf numFmtId="170" fontId="40" fillId="0" borderId="96" xfId="2" applyNumberFormat="1" applyFont="1" applyFill="1" applyBorder="1" applyAlignment="1">
      <alignment horizontal="center"/>
    </xf>
    <xf numFmtId="170" fontId="40" fillId="0" borderId="93" xfId="2" applyNumberFormat="1" applyFont="1" applyFill="1" applyBorder="1" applyAlignment="1">
      <alignment horizontal="center"/>
    </xf>
    <xf numFmtId="172" fontId="40" fillId="0" borderId="0" xfId="0" applyNumberFormat="1" applyFont="1" applyFill="1" applyBorder="1" applyAlignment="1" applyProtection="1"/>
    <xf numFmtId="164" fontId="45"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68" fillId="0" borderId="15" xfId="2" applyNumberFormat="1" applyFont="1" applyFill="1" applyBorder="1" applyAlignment="1"/>
    <xf numFmtId="174" fontId="67" fillId="0" borderId="0" xfId="2" applyNumberFormat="1" applyFont="1" applyFill="1" applyBorder="1" applyAlignment="1"/>
    <xf numFmtId="169" fontId="169"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5" fillId="0" borderId="0" xfId="740" applyNumberFormat="1" applyFont="1" applyFill="1" applyBorder="1" applyAlignment="1">
      <alignment horizontal="center"/>
    </xf>
    <xf numFmtId="177" fontId="45" fillId="0" borderId="43" xfId="740" applyNumberFormat="1" applyFont="1" applyFill="1" applyBorder="1" applyAlignment="1">
      <alignment horizontal="center"/>
    </xf>
    <xf numFmtId="177" fontId="45" fillId="0" borderId="10" xfId="740" applyNumberFormat="1" applyFont="1" applyFill="1" applyBorder="1" applyAlignment="1">
      <alignment horizontal="center"/>
    </xf>
    <xf numFmtId="177" fontId="45" fillId="0" borderId="0" xfId="740" quotePrefix="1" applyNumberFormat="1" applyFont="1" applyFill="1" applyBorder="1" applyAlignment="1">
      <alignment horizontal="center"/>
    </xf>
    <xf numFmtId="177" fontId="45"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4"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39" fontId="45" fillId="0" borderId="66" xfId="1776" applyNumberFormat="1" applyFont="1" applyBorder="1" applyAlignment="1">
      <alignment horizontal="center"/>
    </xf>
    <xf numFmtId="44" fontId="45" fillId="0" borderId="81" xfId="1776" applyNumberFormat="1" applyFont="1" applyBorder="1" applyAlignment="1"/>
    <xf numFmtId="43" fontId="45" fillId="0" borderId="10" xfId="1776" applyNumberFormat="1" applyFont="1" applyBorder="1" applyAlignment="1"/>
    <xf numFmtId="165" fontId="38" fillId="0" borderId="0" xfId="0" applyNumberFormat="1" applyFont="1" applyAlignment="1" applyProtection="1"/>
    <xf numFmtId="165" fontId="41" fillId="0" borderId="0" xfId="0" applyNumberFormat="1" applyFont="1" applyAlignment="1" applyProtection="1"/>
    <xf numFmtId="165" fontId="143" fillId="0" borderId="0" xfId="0" applyNumberFormat="1" applyFont="1" applyAlignment="1" applyProtection="1"/>
    <xf numFmtId="165" fontId="41" fillId="0" borderId="0" xfId="0" applyNumberFormat="1" applyFont="1" applyFill="1" applyAlignment="1" applyProtection="1"/>
    <xf numFmtId="165" fontId="52" fillId="0" borderId="0" xfId="0" applyNumberFormat="1" applyFont="1" applyAlignment="1" applyProtection="1"/>
    <xf numFmtId="39"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6" fontId="39" fillId="0" borderId="0" xfId="0" applyNumberFormat="1" applyFont="1" applyFill="1" applyAlignment="1" applyProtection="1">
      <alignment horizontal="right"/>
    </xf>
    <xf numFmtId="165" fontId="40"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5" fillId="0" borderId="0" xfId="0" applyNumberFormat="1" applyFont="1" applyFill="1" applyAlignment="1" applyProtection="1">
      <alignment horizontal="right"/>
    </xf>
    <xf numFmtId="166" fontId="45" fillId="0" borderId="0" xfId="0" applyNumberFormat="1" applyFont="1" applyAlignment="1" applyProtection="1">
      <alignment horizontal="right"/>
    </xf>
    <xf numFmtId="166" fontId="45" fillId="0" borderId="0" xfId="0" quotePrefix="1" applyNumberFormat="1" applyFont="1" applyFill="1" applyAlignment="1" applyProtection="1">
      <alignment horizontal="right"/>
    </xf>
    <xf numFmtId="166" fontId="45" fillId="0" borderId="0" xfId="0" applyNumberFormat="1" applyFont="1" applyAlignment="1" applyProtection="1">
      <alignment horizontal="center"/>
    </xf>
    <xf numFmtId="166" fontId="43" fillId="0" borderId="0" xfId="0" applyNumberFormat="1" applyFont="1" applyBorder="1" applyAlignment="1" applyProtection="1"/>
    <xf numFmtId="166" fontId="43" fillId="0" borderId="0" xfId="0" applyNumberFormat="1" applyFont="1" applyFill="1" applyAlignment="1" applyProtection="1"/>
    <xf numFmtId="166" fontId="45" fillId="0" borderId="0" xfId="0" applyNumberFormat="1" applyFont="1" applyFill="1" applyAlignment="1" applyProtection="1"/>
    <xf numFmtId="166" fontId="45" fillId="0" borderId="0" xfId="0" applyNumberFormat="1" applyFont="1" applyAlignment="1" applyProtection="1"/>
    <xf numFmtId="166" fontId="40" fillId="0" borderId="0" xfId="0" applyNumberFormat="1" applyFont="1" applyAlignment="1" applyProtection="1"/>
    <xf numFmtId="166" fontId="45" fillId="0" borderId="0" xfId="0" applyNumberFormat="1" applyFont="1" applyBorder="1" applyAlignment="1" applyProtection="1"/>
    <xf numFmtId="166" fontId="38" fillId="0" borderId="0" xfId="0" applyNumberFormat="1" applyFont="1" applyBorder="1" applyAlignment="1" applyProtection="1">
      <alignment horizontal="center"/>
    </xf>
    <xf numFmtId="166" fontId="45" fillId="0" borderId="0" xfId="0" applyNumberFormat="1" applyFont="1" applyFill="1" applyBorder="1" applyAlignment="1" applyProtection="1">
      <alignment horizontal="center"/>
    </xf>
    <xf numFmtId="165" fontId="38" fillId="0" borderId="0" xfId="0" applyNumberFormat="1" applyFont="1" applyBorder="1" applyAlignment="1" applyProtection="1"/>
    <xf numFmtId="166" fontId="38" fillId="0" borderId="0" xfId="0" applyNumberFormat="1" applyFont="1" applyAlignment="1" applyProtection="1">
      <alignment horizontal="center"/>
    </xf>
    <xf numFmtId="166" fontId="130" fillId="0" borderId="0" xfId="0" applyNumberFormat="1" applyFont="1" applyBorder="1" applyAlignment="1" applyProtection="1"/>
    <xf numFmtId="166" fontId="38" fillId="0" borderId="0" xfId="0" applyNumberFormat="1" applyFont="1" applyAlignment="1" applyProtection="1"/>
    <xf numFmtId="166" fontId="40" fillId="0" borderId="13" xfId="0" applyNumberFormat="1" applyFont="1" applyBorder="1" applyAlignment="1" applyProtection="1"/>
    <xf numFmtId="166" fontId="40" fillId="0" borderId="14" xfId="0" applyNumberFormat="1" applyFont="1" applyBorder="1" applyAlignment="1" applyProtection="1"/>
    <xf numFmtId="166" fontId="40" fillId="0" borderId="0" xfId="0" applyNumberFormat="1" applyFont="1" applyFill="1" applyBorder="1" applyAlignment="1" applyProtection="1"/>
    <xf numFmtId="166" fontId="40" fillId="0" borderId="15" xfId="0" applyNumberFormat="1" applyFont="1" applyBorder="1" applyAlignment="1" applyProtection="1"/>
    <xf numFmtId="37" fontId="38" fillId="0" borderId="0" xfId="0" applyNumberFormat="1" applyFont="1" applyAlignment="1" applyProtection="1">
      <alignment horizontal="left"/>
    </xf>
    <xf numFmtId="167" fontId="40" fillId="0" borderId="0" xfId="0" applyNumberFormat="1" applyFont="1" applyAlignment="1" applyProtection="1"/>
    <xf numFmtId="167" fontId="40" fillId="0" borderId="0" xfId="0" applyNumberFormat="1" applyFont="1" applyAlignment="1" applyProtection="1">
      <alignment horizontal="center"/>
    </xf>
    <xf numFmtId="174" fontId="40" fillId="0" borderId="13" xfId="0" applyNumberFormat="1" applyFont="1" applyBorder="1" applyAlignment="1" applyProtection="1"/>
    <xf numFmtId="174" fontId="40" fillId="0" borderId="0" xfId="0" applyNumberFormat="1" applyFont="1" applyBorder="1" applyAlignment="1" applyProtection="1"/>
    <xf numFmtId="167" fontId="40" fillId="0" borderId="14" xfId="0" applyNumberFormat="1" applyFont="1" applyBorder="1" applyAlignment="1" applyProtection="1"/>
    <xf numFmtId="167" fontId="40" fillId="0" borderId="0" xfId="0" applyNumberFormat="1" applyFont="1" applyBorder="1" applyAlignment="1" applyProtection="1"/>
    <xf numFmtId="167" fontId="40" fillId="0" borderId="15" xfId="0" applyNumberFormat="1" applyFont="1" applyBorder="1" applyAlignment="1" applyProtection="1"/>
    <xf numFmtId="168" fontId="41" fillId="0" borderId="0" xfId="0" applyNumberFormat="1" applyFont="1" applyAlignment="1" applyProtection="1"/>
    <xf numFmtId="183" fontId="40" fillId="0" borderId="0" xfId="0" applyNumberFormat="1" applyFont="1" applyBorder="1" applyAlignment="1" applyProtection="1"/>
    <xf numFmtId="37" fontId="40" fillId="0" borderId="0" xfId="0" applyNumberFormat="1" applyFont="1" applyAlignment="1" applyProtection="1">
      <alignment horizontal="left"/>
    </xf>
    <xf numFmtId="170" fontId="40" fillId="0" borderId="13" xfId="0" applyNumberFormat="1" applyFont="1" applyBorder="1" applyAlignment="1" applyProtection="1"/>
    <xf numFmtId="170" fontId="40" fillId="0" borderId="14" xfId="0" applyNumberFormat="1" applyFont="1" applyBorder="1" applyAlignment="1" applyProtection="1"/>
    <xf numFmtId="170" fontId="40" fillId="0" borderId="15" xfId="0" applyNumberFormat="1" applyFont="1" applyBorder="1" applyAlignment="1" applyProtection="1"/>
    <xf numFmtId="165" fontId="40" fillId="0" borderId="0" xfId="0" quotePrefix="1" applyNumberFormat="1" applyFont="1" applyAlignment="1" applyProtection="1">
      <alignment horizontal="left"/>
    </xf>
    <xf numFmtId="171" fontId="40" fillId="0" borderId="0" xfId="0" quotePrefix="1" applyNumberFormat="1" applyFont="1" applyAlignment="1" applyProtection="1">
      <alignment horizontal="left"/>
    </xf>
    <xf numFmtId="170" fontId="45" fillId="0" borderId="0" xfId="0" applyNumberFormat="1" applyFont="1" applyBorder="1" applyAlignment="1" applyProtection="1">
      <alignment horizontal="right"/>
    </xf>
    <xf numFmtId="170" fontId="45" fillId="0" borderId="0" xfId="0" applyNumberFormat="1" applyFont="1" applyBorder="1" applyAlignment="1" applyProtection="1"/>
    <xf numFmtId="170" fontId="45" fillId="0" borderId="15" xfId="0" applyNumberFormat="1" applyFont="1" applyBorder="1" applyAlignment="1" applyProtection="1"/>
    <xf numFmtId="165" fontId="48" fillId="0" borderId="0" xfId="0" applyNumberFormat="1" applyFont="1" applyAlignment="1" applyProtection="1"/>
    <xf numFmtId="166" fontId="45" fillId="0" borderId="0" xfId="0" applyNumberFormat="1" applyFont="1" applyBorder="1" applyAlignment="1" applyProtection="1">
      <alignment horizontal="right"/>
    </xf>
    <xf numFmtId="37" fontId="38" fillId="0" borderId="0" xfId="0" quotePrefix="1" applyNumberFormat="1" applyFont="1" applyAlignment="1" applyProtection="1">
      <alignment horizontal="left"/>
    </xf>
    <xf numFmtId="166" fontId="40" fillId="0" borderId="0" xfId="0" quotePrefix="1" applyNumberFormat="1" applyFont="1" applyAlignment="1" applyProtection="1">
      <alignment horizontal="center"/>
    </xf>
    <xf numFmtId="3" fontId="40" fillId="0" borderId="0" xfId="0" applyNumberFormat="1" applyFont="1" applyAlignment="1" applyProtection="1"/>
    <xf numFmtId="170" fontId="40" fillId="0" borderId="15" xfId="0" quotePrefix="1" applyNumberFormat="1" applyFont="1" applyBorder="1" applyAlignment="1" applyProtection="1">
      <alignment horizontal="right"/>
    </xf>
    <xf numFmtId="166" fontId="40" fillId="0" borderId="0" xfId="0" quotePrefix="1" applyNumberFormat="1" applyFont="1" applyAlignment="1" applyProtection="1">
      <alignment horizontal="left"/>
    </xf>
    <xf numFmtId="166" fontId="40" fillId="0" borderId="0" xfId="0" quotePrefix="1" applyNumberFormat="1" applyFont="1" applyAlignment="1" applyProtection="1"/>
    <xf numFmtId="37" fontId="40" fillId="0" borderId="0" xfId="0" quotePrefix="1" applyNumberFormat="1" applyFont="1" applyAlignment="1" applyProtection="1">
      <alignment horizontal="left"/>
    </xf>
    <xf numFmtId="3" fontId="40" fillId="0" borderId="0" xfId="0" applyNumberFormat="1" applyFont="1" applyAlignment="1" applyProtection="1">
      <alignment horizontal="left"/>
    </xf>
    <xf numFmtId="173" fontId="40" fillId="0" borderId="0" xfId="0" applyNumberFormat="1" applyFont="1" applyAlignment="1" applyProtection="1"/>
    <xf numFmtId="170" fontId="50" fillId="0" borderId="0" xfId="0" applyNumberFormat="1" applyFont="1" applyAlignment="1" applyProtection="1"/>
    <xf numFmtId="166" fontId="40" fillId="0" borderId="0" xfId="0" applyNumberFormat="1" applyFont="1" applyBorder="1" applyAlignment="1" applyProtection="1">
      <alignment horizontal="center"/>
    </xf>
    <xf numFmtId="165" fontId="48" fillId="0" borderId="0" xfId="0" applyNumberFormat="1" applyFont="1" applyBorder="1" applyAlignment="1" applyProtection="1"/>
    <xf numFmtId="166" fontId="40" fillId="0" borderId="0" xfId="0" applyNumberFormat="1" applyFont="1" applyFill="1" applyAlignment="1" applyProtection="1"/>
    <xf numFmtId="170" fontId="40" fillId="0" borderId="15" xfId="0" applyNumberFormat="1" applyFont="1" applyBorder="1" applyAlignment="1" applyProtection="1">
      <alignment horizontal="center"/>
    </xf>
    <xf numFmtId="165" fontId="41" fillId="0" borderId="0" xfId="0" applyNumberFormat="1" applyFont="1" applyBorder="1" applyAlignment="1" applyProtection="1"/>
    <xf numFmtId="166" fontId="40" fillId="0" borderId="0" xfId="0" applyNumberFormat="1" applyFont="1" applyFill="1" applyBorder="1" applyAlignment="1" applyProtection="1">
      <alignment horizontal="center"/>
    </xf>
    <xf numFmtId="37" fontId="38" fillId="0" borderId="0" xfId="0" quotePrefix="1" applyNumberFormat="1" applyFont="1" applyFill="1" applyAlignment="1" applyProtection="1">
      <alignment horizontal="left"/>
    </xf>
    <xf numFmtId="170" fontId="40" fillId="0" borderId="13" xfId="0" applyNumberFormat="1" applyFont="1" applyFill="1" applyBorder="1" applyAlignment="1" applyProtection="1"/>
    <xf numFmtId="170" fontId="40" fillId="0" borderId="14" xfId="0" applyNumberFormat="1" applyFont="1" applyFill="1" applyBorder="1" applyAlignment="1" applyProtection="1"/>
    <xf numFmtId="170" fontId="40" fillId="0" borderId="10" xfId="0" applyNumberFormat="1" applyFont="1" applyBorder="1" applyAlignment="1" applyProtection="1"/>
    <xf numFmtId="170" fontId="45" fillId="0" borderId="16" xfId="0" quotePrefix="1" applyNumberFormat="1" applyFont="1" applyFill="1" applyBorder="1" applyAlignment="1" applyProtection="1">
      <alignment horizontal="right"/>
    </xf>
    <xf numFmtId="170" fontId="45" fillId="0" borderId="13" xfId="0" applyNumberFormat="1" applyFont="1" applyFill="1" applyBorder="1" applyAlignment="1" applyProtection="1"/>
    <xf numFmtId="170" fontId="45" fillId="0" borderId="14" xfId="0" applyNumberFormat="1" applyFont="1" applyFill="1" applyBorder="1" applyAlignment="1" applyProtection="1"/>
    <xf numFmtId="166" fontId="45" fillId="0" borderId="0" xfId="0" applyNumberFormat="1" applyFont="1" applyFill="1" applyBorder="1" applyAlignment="1" applyProtection="1"/>
    <xf numFmtId="165" fontId="45" fillId="0" borderId="0" xfId="0" applyNumberFormat="1" applyFont="1" applyAlignment="1" applyProtection="1"/>
    <xf numFmtId="164" fontId="45" fillId="0" borderId="10" xfId="0" applyNumberFormat="1" applyFont="1" applyBorder="1" applyAlignment="1" applyProtection="1"/>
    <xf numFmtId="166" fontId="45" fillId="0" borderId="0" xfId="0" applyNumberFormat="1" applyFont="1" applyFill="1" applyAlignment="1" applyProtection="1">
      <alignment horizontal="left"/>
    </xf>
    <xf numFmtId="166" fontId="40" fillId="0" borderId="0" xfId="0" quotePrefix="1" applyNumberFormat="1" applyFont="1" applyFill="1" applyAlignment="1" applyProtection="1">
      <alignment horizontal="left"/>
    </xf>
    <xf numFmtId="174" fontId="45" fillId="0" borderId="0" xfId="0" applyNumberFormat="1" applyFont="1" applyFill="1" applyAlignment="1" applyProtection="1"/>
    <xf numFmtId="174" fontId="45" fillId="0" borderId="13" xfId="0" applyNumberFormat="1" applyFont="1" applyFill="1" applyBorder="1" applyAlignment="1" applyProtection="1"/>
    <xf numFmtId="174" fontId="45" fillId="0" borderId="0" xfId="0" applyNumberFormat="1" applyFont="1" applyFill="1" applyBorder="1" applyAlignment="1" applyProtection="1"/>
    <xf numFmtId="174" fontId="45" fillId="0" borderId="14" xfId="0" applyNumberFormat="1" applyFont="1" applyFill="1" applyBorder="1" applyAlignment="1" applyProtection="1"/>
    <xf numFmtId="164" fontId="45" fillId="0" borderId="17" xfId="0" applyNumberFormat="1" applyFont="1" applyBorder="1" applyAlignment="1" applyProtection="1"/>
    <xf numFmtId="169" fontId="45" fillId="0" borderId="0" xfId="0" applyNumberFormat="1" applyFont="1" applyFill="1" applyBorder="1" applyAlignment="1" applyProtection="1"/>
    <xf numFmtId="166" fontId="48" fillId="0" borderId="0" xfId="0" applyNumberFormat="1" applyFont="1" applyBorder="1" applyAlignment="1" applyProtection="1"/>
    <xf numFmtId="166" fontId="41" fillId="0" borderId="0" xfId="0" applyNumberFormat="1" applyFont="1" applyBorder="1" applyAlignment="1" applyProtection="1"/>
    <xf numFmtId="166" fontId="143" fillId="0" borderId="0" xfId="0" applyNumberFormat="1" applyFont="1" applyFill="1" applyBorder="1" applyAlignment="1" applyProtection="1"/>
    <xf numFmtId="166" fontId="41" fillId="0" borderId="0" xfId="0" applyNumberFormat="1" applyFont="1" applyFill="1" applyBorder="1" applyAlignment="1" applyProtection="1"/>
    <xf numFmtId="165" fontId="51" fillId="0" borderId="0" xfId="0" applyNumberFormat="1" applyFont="1" applyBorder="1" applyAlignment="1" applyProtection="1"/>
    <xf numFmtId="165" fontId="45"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8" fillId="0" borderId="0" xfId="0" applyNumberFormat="1" applyFont="1" applyFill="1" applyAlignment="1" applyProtection="1"/>
    <xf numFmtId="165" fontId="51" fillId="0" borderId="0" xfId="0" applyNumberFormat="1" applyFont="1" applyAlignment="1" applyProtection="1"/>
    <xf numFmtId="166" fontId="46" fillId="0" borderId="0" xfId="0" quotePrefix="1" applyNumberFormat="1" applyFont="1" applyBorder="1" applyAlignment="1" applyProtection="1">
      <alignment horizontal="left"/>
    </xf>
    <xf numFmtId="166" fontId="46" fillId="0" borderId="0" xfId="0" applyNumberFormat="1" applyFont="1" applyBorder="1" applyAlignment="1" applyProtection="1">
      <alignment horizontal="left"/>
    </xf>
    <xf numFmtId="165" fontId="46" fillId="0" borderId="0" xfId="0" applyNumberFormat="1" applyFont="1" applyBorder="1" applyAlignment="1" applyProtection="1"/>
    <xf numFmtId="165" fontId="145" fillId="0" borderId="0" xfId="0" applyNumberFormat="1" applyFont="1" applyBorder="1" applyAlignment="1" applyProtection="1"/>
    <xf numFmtId="165" fontId="47" fillId="0" borderId="0" xfId="0" applyNumberFormat="1" applyFont="1" applyBorder="1" applyAlignment="1" applyProtection="1"/>
    <xf numFmtId="165" fontId="130" fillId="0" borderId="0" xfId="0" applyNumberFormat="1" applyFont="1" applyBorder="1" applyAlignment="1" applyProtection="1"/>
    <xf numFmtId="165" fontId="41" fillId="0" borderId="0" xfId="0" applyNumberFormat="1" applyFont="1" applyFill="1" applyBorder="1" applyAlignment="1" applyProtection="1"/>
    <xf numFmtId="164" fontId="40" fillId="0" borderId="0" xfId="0" applyFont="1" applyFill="1" applyBorder="1" applyAlignment="1" applyProtection="1"/>
    <xf numFmtId="166"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4" fillId="0" borderId="0" xfId="0" applyNumberFormat="1" applyFont="1" applyFill="1" applyAlignment="1" applyProtection="1"/>
    <xf numFmtId="165" fontId="55" fillId="0" borderId="0" xfId="0" applyNumberFormat="1" applyFont="1" applyFill="1" applyAlignment="1" applyProtection="1"/>
    <xf numFmtId="166" fontId="56" fillId="0" borderId="0" xfId="0" applyNumberFormat="1" applyFont="1" applyFill="1" applyBorder="1" applyAlignment="1" applyProtection="1">
      <alignment horizontal="right"/>
    </xf>
    <xf numFmtId="166" fontId="44" fillId="0" borderId="0" xfId="0" applyNumberFormat="1" applyFont="1" applyBorder="1" applyAlignment="1" applyProtection="1"/>
    <xf numFmtId="166" fontId="44" fillId="0" borderId="0" xfId="0" applyNumberFormat="1" applyFont="1" applyFill="1" applyBorder="1" applyAlignment="1" applyProtection="1"/>
    <xf numFmtId="166" fontId="58" fillId="0" borderId="0" xfId="0" applyNumberFormat="1" applyFont="1" applyFill="1" applyBorder="1" applyAlignment="1" applyProtection="1"/>
    <xf numFmtId="166" fontId="57"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5" fillId="0" borderId="66" xfId="0" applyNumberFormat="1" applyFont="1" applyFill="1" applyBorder="1" applyAlignment="1" applyProtection="1">
      <alignment horizontal="center"/>
    </xf>
    <xf numFmtId="166" fontId="57" fillId="0" borderId="66" xfId="0" applyNumberFormat="1" applyFont="1" applyFill="1" applyBorder="1" applyAlignment="1" applyProtection="1"/>
    <xf numFmtId="165" fontId="41"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6" fillId="0" borderId="0" xfId="0" applyNumberFormat="1" applyFont="1" applyFill="1" applyBorder="1" applyAlignment="1" applyProtection="1">
      <alignment horizontal="center"/>
    </xf>
    <xf numFmtId="166" fontId="45" fillId="0" borderId="0" xfId="0" applyNumberFormat="1" applyFont="1" applyFill="1" applyAlignment="1" applyProtection="1">
      <alignment horizontal="center"/>
    </xf>
    <xf numFmtId="166" fontId="45" fillId="0" borderId="10" xfId="0" applyNumberFormat="1" applyFont="1" applyFill="1" applyBorder="1" applyAlignment="1" applyProtection="1">
      <alignment horizontal="center"/>
    </xf>
    <xf numFmtId="166" fontId="38"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40" fillId="0" borderId="18" xfId="0" applyNumberFormat="1" applyFont="1" applyBorder="1" applyAlignment="1" applyProtection="1"/>
    <xf numFmtId="166" fontId="40" fillId="0" borderId="14" xfId="0" applyNumberFormat="1" applyFont="1" applyFill="1" applyBorder="1" applyAlignment="1" applyProtection="1"/>
    <xf numFmtId="166" fontId="47" fillId="0" borderId="15" xfId="0" applyNumberFormat="1" applyFont="1" applyFill="1" applyBorder="1" applyAlignment="1" applyProtection="1"/>
    <xf numFmtId="174" fontId="60" fillId="0" borderId="0" xfId="0" applyNumberFormat="1" applyFont="1" applyFill="1" applyBorder="1" applyAlignment="1" applyProtection="1"/>
    <xf numFmtId="174" fontId="40" fillId="0" borderId="0" xfId="0" applyNumberFormat="1" applyFont="1" applyFill="1" applyAlignment="1" applyProtection="1"/>
    <xf numFmtId="174" fontId="40" fillId="0" borderId="14" xfId="0" applyNumberFormat="1" applyFont="1" applyFill="1" applyBorder="1" applyAlignment="1" applyProtection="1"/>
    <xf numFmtId="169" fontId="40" fillId="0" borderId="0" xfId="0" applyNumberFormat="1" applyFont="1" applyFill="1" applyBorder="1" applyAlignment="1" applyProtection="1"/>
    <xf numFmtId="169" fontId="47" fillId="0" borderId="15" xfId="0" applyNumberFormat="1" applyFont="1" applyFill="1" applyBorder="1" applyAlignment="1" applyProtection="1"/>
    <xf numFmtId="170" fontId="60" fillId="0" borderId="0" xfId="0" applyNumberFormat="1" applyFont="1" applyFill="1" applyBorder="1" applyAlignment="1" applyProtection="1"/>
    <xf numFmtId="170" fontId="60" fillId="0" borderId="0" xfId="0" applyNumberFormat="1" applyFont="1" applyFill="1" applyBorder="1" applyAlignment="1" applyProtection="1">
      <alignment horizontal="center"/>
    </xf>
    <xf numFmtId="170" fontId="40" fillId="0" borderId="14" xfId="0" applyNumberFormat="1" applyFont="1" applyFill="1" applyBorder="1" applyAlignment="1" applyProtection="1">
      <alignment horizontal="center"/>
    </xf>
    <xf numFmtId="170" fontId="40"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66" fontId="46" fillId="0" borderId="15" xfId="0" applyNumberFormat="1" applyFont="1" applyFill="1" applyBorder="1" applyAlignment="1" applyProtection="1"/>
    <xf numFmtId="166" fontId="38" fillId="0" borderId="0" xfId="0" quotePrefix="1" applyNumberFormat="1" applyFont="1" applyAlignment="1" applyProtection="1">
      <alignment horizontal="left"/>
    </xf>
    <xf numFmtId="170" fontId="40" fillId="0" borderId="0" xfId="0" quotePrefix="1" applyNumberFormat="1" applyFont="1" applyFill="1" applyAlignment="1" applyProtection="1">
      <alignment horizontal="center"/>
    </xf>
    <xf numFmtId="170" fontId="40" fillId="0" borderId="0" xfId="0" quotePrefix="1" applyNumberFormat="1" applyFont="1" applyAlignment="1" applyProtection="1">
      <alignment horizontal="right"/>
    </xf>
    <xf numFmtId="3" fontId="38" fillId="0" borderId="0" xfId="0" applyNumberFormat="1" applyFont="1" applyAlignment="1" applyProtection="1">
      <alignment horizontal="left"/>
    </xf>
    <xf numFmtId="170" fontId="59" fillId="0" borderId="0" xfId="0" applyNumberFormat="1" applyFont="1" applyFill="1" applyBorder="1" applyAlignment="1" applyProtection="1">
      <alignment horizontal="center"/>
    </xf>
    <xf numFmtId="170" fontId="45" fillId="0" borderId="14" xfId="0" applyNumberFormat="1" applyFont="1" applyFill="1" applyBorder="1" applyAlignment="1" applyProtection="1">
      <alignment horizontal="center"/>
    </xf>
    <xf numFmtId="170" fontId="45" fillId="0" borderId="0" xfId="0" applyNumberFormat="1" applyFont="1" applyFill="1" applyBorder="1" applyAlignment="1" applyProtection="1">
      <alignment horizontal="center"/>
    </xf>
    <xf numFmtId="166" fontId="38" fillId="0" borderId="0" xfId="0" quotePrefix="1" applyNumberFormat="1" applyFont="1" applyFill="1" applyAlignment="1" applyProtection="1">
      <alignment horizontal="left"/>
    </xf>
    <xf numFmtId="170" fontId="40" fillId="0" borderId="18" xfId="0" applyNumberFormat="1" applyFont="1" applyFill="1" applyBorder="1" applyAlignment="1" applyProtection="1"/>
    <xf numFmtId="164" fontId="40"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5" fillId="0" borderId="0" xfId="0" quotePrefix="1" applyNumberFormat="1" applyFont="1" applyAlignment="1" applyProtection="1">
      <alignment horizontal="left"/>
    </xf>
    <xf numFmtId="166" fontId="38" fillId="0" borderId="0" xfId="0" applyNumberFormat="1" applyFont="1" applyFill="1" applyBorder="1" applyAlignment="1" applyProtection="1"/>
    <xf numFmtId="166" fontId="45" fillId="0" borderId="0" xfId="0" quotePrefix="1" applyNumberFormat="1" applyFont="1" applyFill="1" applyAlignment="1" applyProtection="1">
      <alignment horizontal="left"/>
    </xf>
    <xf numFmtId="37" fontId="40"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6" fillId="0" borderId="15" xfId="0" applyNumberFormat="1" applyFont="1" applyFill="1" applyBorder="1" applyAlignment="1" applyProtection="1"/>
    <xf numFmtId="166" fontId="61" fillId="0" borderId="0" xfId="0" applyNumberFormat="1" applyFont="1" applyFill="1" applyBorder="1" applyAlignment="1" applyProtection="1"/>
    <xf numFmtId="166" fontId="38"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3" fillId="0" borderId="0" xfId="2" applyNumberFormat="1" applyFont="1" applyProtection="1"/>
    <xf numFmtId="170" fontId="43"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3" fillId="0" borderId="0" xfId="2" applyNumberFormat="1" applyFont="1" applyAlignment="1" applyProtection="1"/>
    <xf numFmtId="0" fontId="45" fillId="0" borderId="0" xfId="2" applyNumberFormat="1" applyFont="1" applyAlignment="1" applyProtection="1"/>
    <xf numFmtId="165" fontId="45"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5" fillId="0" borderId="0" xfId="2" applyNumberFormat="1" applyFont="1" applyBorder="1" applyAlignment="1" applyProtection="1"/>
    <xf numFmtId="0" fontId="45" fillId="0" borderId="0" xfId="2" applyNumberFormat="1" applyFont="1" applyBorder="1" applyAlignment="1" applyProtection="1"/>
    <xf numFmtId="165" fontId="45" fillId="0" borderId="0" xfId="2" applyNumberFormat="1" applyFont="1" applyFill="1" applyBorder="1" applyAlignment="1" applyProtection="1"/>
    <xf numFmtId="165" fontId="76" fillId="0" borderId="0" xfId="2" applyNumberFormat="1" applyFont="1" applyProtection="1"/>
    <xf numFmtId="166" fontId="45" fillId="0" borderId="0" xfId="2" applyNumberFormat="1" applyFont="1" applyBorder="1" applyAlignment="1" applyProtection="1">
      <alignment horizontal="center"/>
    </xf>
    <xf numFmtId="165" fontId="45" fillId="0" borderId="0" xfId="2" applyNumberFormat="1" applyFont="1" applyBorder="1" applyAlignment="1" applyProtection="1">
      <alignment horizontal="center"/>
    </xf>
    <xf numFmtId="0" fontId="45" fillId="0" borderId="0" xfId="2" applyNumberFormat="1" applyFont="1" applyAlignment="1" applyProtection="1">
      <alignment horizontal="center"/>
    </xf>
    <xf numFmtId="3" fontId="45" fillId="0" borderId="0" xfId="2" applyNumberFormat="1" applyFont="1" applyAlignment="1" applyProtection="1">
      <alignment horizontal="center"/>
    </xf>
    <xf numFmtId="170" fontId="45" fillId="0" borderId="0" xfId="2" applyNumberFormat="1" applyFont="1" applyFill="1" applyAlignment="1" applyProtection="1">
      <alignment horizontal="center"/>
    </xf>
    <xf numFmtId="165" fontId="45" fillId="0" borderId="0" xfId="2" applyNumberFormat="1" applyFont="1" applyAlignment="1" applyProtection="1">
      <alignment horizontal="center"/>
    </xf>
    <xf numFmtId="1" fontId="45" fillId="0" borderId="0" xfId="2" quotePrefix="1" applyNumberFormat="1" applyFont="1" applyBorder="1" applyAlignment="1" applyProtection="1">
      <alignment horizontal="center"/>
    </xf>
    <xf numFmtId="166" fontId="45" fillId="0" borderId="10" xfId="2" applyNumberFormat="1" applyFont="1" applyBorder="1" applyAlignment="1" applyProtection="1">
      <alignment horizontal="center"/>
    </xf>
    <xf numFmtId="166" fontId="45" fillId="0" borderId="10" xfId="2" quotePrefix="1" applyNumberFormat="1" applyFont="1" applyBorder="1" applyAlignment="1" applyProtection="1">
      <alignment horizontal="center"/>
    </xf>
    <xf numFmtId="165" fontId="40" fillId="0" borderId="20" xfId="2" applyNumberFormat="1" applyFont="1" applyBorder="1" applyAlignment="1" applyProtection="1"/>
    <xf numFmtId="3" fontId="40" fillId="0" borderId="20" xfId="2" applyNumberFormat="1" applyFont="1" applyBorder="1" applyAlignment="1" applyProtection="1"/>
    <xf numFmtId="165" fontId="66" fillId="0" borderId="15" xfId="2" applyNumberFormat="1" applyFont="1" applyBorder="1" applyProtection="1"/>
    <xf numFmtId="0" fontId="41" fillId="0" borderId="0" xfId="2" applyNumberFormat="1" applyFont="1" applyAlignment="1" applyProtection="1"/>
    <xf numFmtId="0" fontId="45" fillId="0" borderId="0" xfId="2" quotePrefix="1" applyNumberFormat="1" applyFont="1" applyAlignment="1" applyProtection="1">
      <alignment horizontal="left"/>
    </xf>
    <xf numFmtId="174" fontId="45" fillId="0" borderId="0" xfId="4" applyNumberFormat="1" applyFont="1" applyFill="1" applyProtection="1"/>
    <xf numFmtId="169" fontId="45" fillId="0" borderId="0" xfId="2" applyNumberFormat="1" applyFont="1" applyAlignment="1" applyProtection="1"/>
    <xf numFmtId="174" fontId="45" fillId="0" borderId="0" xfId="2" applyNumberFormat="1" applyFont="1" applyAlignment="1" applyProtection="1"/>
    <xf numFmtId="169" fontId="45" fillId="0" borderId="21" xfId="2" applyNumberFormat="1" applyFont="1" applyBorder="1" applyAlignment="1" applyProtection="1"/>
    <xf numFmtId="169" fontId="45" fillId="0" borderId="0" xfId="2" applyNumberFormat="1" applyFont="1" applyFill="1" applyAlignment="1" applyProtection="1"/>
    <xf numFmtId="169" fontId="76" fillId="0" borderId="15" xfId="2" applyNumberFormat="1" applyFont="1" applyBorder="1" applyProtection="1"/>
    <xf numFmtId="169" fontId="44" fillId="0" borderId="0" xfId="2" applyNumberFormat="1" applyFont="1" applyBorder="1" applyAlignment="1" applyProtection="1"/>
    <xf numFmtId="3" fontId="40" fillId="0" borderId="0" xfId="2" applyNumberFormat="1" applyFont="1" applyAlignment="1" applyProtection="1"/>
    <xf numFmtId="165" fontId="43" fillId="0" borderId="0" xfId="2" applyNumberFormat="1" applyFont="1" applyBorder="1" applyAlignment="1" applyProtection="1"/>
    <xf numFmtId="0" fontId="45" fillId="0" borderId="0" xfId="2" applyNumberFormat="1" applyFont="1" applyFill="1" applyAlignment="1" applyProtection="1">
      <alignment horizontal="left"/>
    </xf>
    <xf numFmtId="0" fontId="38" fillId="0" borderId="0" xfId="2" quotePrefix="1" applyNumberFormat="1" applyFont="1" applyAlignment="1" applyProtection="1">
      <alignment horizontal="left"/>
    </xf>
    <xf numFmtId="0" fontId="41" fillId="0" borderId="0" xfId="2" applyNumberFormat="1" applyFont="1" applyFill="1" applyAlignment="1" applyProtection="1"/>
    <xf numFmtId="0" fontId="40" fillId="0" borderId="0" xfId="2" applyNumberFormat="1" applyFont="1" applyFill="1" applyAlignment="1" applyProtection="1"/>
    <xf numFmtId="43" fontId="38" fillId="0" borderId="0" xfId="2" applyNumberFormat="1" applyFont="1" applyAlignment="1" applyProtection="1"/>
    <xf numFmtId="165" fontId="66" fillId="0" borderId="15" xfId="2" applyNumberFormat="1" applyFont="1" applyFill="1" applyBorder="1" applyProtection="1"/>
    <xf numFmtId="165" fontId="43" fillId="0" borderId="0" xfId="2" applyNumberFormat="1" applyFont="1" applyFill="1" applyBorder="1" applyAlignment="1" applyProtection="1"/>
    <xf numFmtId="0" fontId="38" fillId="0" borderId="0" xfId="2" applyNumberFormat="1" applyFont="1" applyAlignment="1" applyProtection="1"/>
    <xf numFmtId="165" fontId="38" fillId="0" borderId="0" xfId="0" applyNumberFormat="1" applyFont="1" applyFill="1" applyAlignment="1" applyProtection="1">
      <alignment horizontal="left"/>
    </xf>
    <xf numFmtId="170" fontId="45" fillId="0" borderId="95" xfId="2" applyNumberFormat="1" applyFont="1" applyBorder="1" applyAlignment="1" applyProtection="1"/>
    <xf numFmtId="170" fontId="45" fillId="0" borderId="95" xfId="2" applyNumberFormat="1" applyFont="1" applyFill="1" applyBorder="1" applyAlignment="1" applyProtection="1"/>
    <xf numFmtId="0" fontId="45" fillId="0" borderId="0" xfId="4" applyFont="1" applyFill="1" applyProtection="1"/>
    <xf numFmtId="170" fontId="45" fillId="0" borderId="70" xfId="2" applyNumberFormat="1" applyFont="1" applyBorder="1" applyAlignment="1" applyProtection="1"/>
    <xf numFmtId="170" fontId="45" fillId="0" borderId="70" xfId="2" applyNumberFormat="1" applyFont="1" applyFill="1" applyBorder="1" applyAlignment="1" applyProtection="1"/>
    <xf numFmtId="170" fontId="66" fillId="0" borderId="15" xfId="2" applyNumberFormat="1" applyFont="1" applyBorder="1" applyProtection="1"/>
    <xf numFmtId="170" fontId="38" fillId="0" borderId="0" xfId="2" applyNumberFormat="1" applyFont="1" applyBorder="1" applyAlignment="1" applyProtection="1"/>
    <xf numFmtId="164" fontId="45" fillId="0" borderId="0" xfId="2" applyNumberFormat="1" applyFont="1" applyBorder="1" applyAlignment="1" applyProtection="1"/>
    <xf numFmtId="0" fontId="48"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5"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8" fillId="0" borderId="0" xfId="2" applyNumberFormat="1" applyFont="1" applyFill="1" applyAlignment="1" applyProtection="1">
      <alignment horizontal="left"/>
    </xf>
    <xf numFmtId="170" fontId="38" fillId="0" borderId="0" xfId="2" applyNumberFormat="1" applyFont="1" applyFill="1" applyBorder="1" applyAlignment="1" applyProtection="1">
      <alignment horizontal="right"/>
    </xf>
    <xf numFmtId="170" fontId="38" fillId="0" borderId="15" xfId="0" quotePrefix="1" applyNumberFormat="1" applyFont="1" applyFill="1" applyBorder="1" applyAlignment="1" applyProtection="1">
      <alignment horizontal="right"/>
    </xf>
    <xf numFmtId="172" fontId="38" fillId="0" borderId="10" xfId="2" applyNumberFormat="1" applyFont="1" applyFill="1" applyBorder="1" applyAlignment="1" applyProtection="1"/>
    <xf numFmtId="170" fontId="85" fillId="0" borderId="0" xfId="2" applyNumberFormat="1" applyFont="1" applyAlignment="1" applyProtection="1"/>
    <xf numFmtId="164" fontId="45" fillId="0" borderId="0" xfId="2" applyNumberFormat="1" applyFont="1" applyAlignment="1" applyProtection="1"/>
    <xf numFmtId="170" fontId="38" fillId="0" borderId="10" xfId="2" applyNumberFormat="1" applyFont="1" applyBorder="1" applyAlignment="1" applyProtection="1"/>
    <xf numFmtId="170" fontId="38" fillId="0" borderId="20" xfId="2" applyNumberFormat="1" applyFont="1" applyBorder="1" applyAlignment="1" applyProtection="1"/>
    <xf numFmtId="170" fontId="38" fillId="0" borderId="20" xfId="2" applyNumberFormat="1" applyFont="1" applyFill="1" applyBorder="1" applyAlignment="1" applyProtection="1"/>
    <xf numFmtId="170" fontId="47" fillId="0" borderId="0" xfId="2" applyNumberFormat="1" applyFont="1" applyBorder="1" applyAlignment="1" applyProtection="1">
      <alignment horizontal="right"/>
    </xf>
    <xf numFmtId="3" fontId="40"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8" fillId="0" borderId="0" xfId="2" applyNumberFormat="1" applyFont="1" applyBorder="1" applyAlignment="1" applyProtection="1">
      <alignment horizontal="center"/>
    </xf>
    <xf numFmtId="164" fontId="45" fillId="0" borderId="45" xfId="2" quotePrefix="1" applyNumberFormat="1" applyFont="1" applyBorder="1" applyAlignment="1" applyProtection="1"/>
    <xf numFmtId="0" fontId="40" fillId="0" borderId="0" xfId="2" quotePrefix="1" applyNumberFormat="1" applyFont="1" applyAlignment="1" applyProtection="1">
      <alignment horizontal="left"/>
    </xf>
    <xf numFmtId="164" fontId="45" fillId="0" borderId="10" xfId="2" quotePrefix="1" applyNumberFormat="1" applyFont="1" applyBorder="1" applyAlignment="1" applyProtection="1">
      <alignment horizontal="right"/>
    </xf>
    <xf numFmtId="0" fontId="38"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40" fillId="0" borderId="0" xfId="2" quotePrefix="1" applyNumberFormat="1" applyFont="1" applyFill="1" applyBorder="1" applyAlignment="1" applyProtection="1">
      <alignment horizontal="left"/>
    </xf>
    <xf numFmtId="0" fontId="38" fillId="0" borderId="0" xfId="2" applyNumberFormat="1" applyFont="1" applyFill="1" applyAlignment="1" applyProtection="1"/>
    <xf numFmtId="170" fontId="38" fillId="0" borderId="10" xfId="2" applyNumberFormat="1" applyFont="1" applyFill="1" applyBorder="1" applyAlignment="1" applyProtection="1"/>
    <xf numFmtId="172" fontId="45" fillId="0" borderId="10" xfId="2" applyNumberFormat="1" applyFont="1" applyBorder="1" applyAlignment="1" applyProtection="1"/>
    <xf numFmtId="170" fontId="43" fillId="0" borderId="0" xfId="2" applyNumberFormat="1" applyFont="1" applyAlignment="1" applyProtection="1"/>
    <xf numFmtId="170" fontId="43" fillId="0" borderId="0" xfId="2" applyNumberFormat="1" applyFont="1" applyBorder="1" applyAlignment="1" applyProtection="1"/>
    <xf numFmtId="170" fontId="44" fillId="0" borderId="0" xfId="2" applyNumberFormat="1" applyFont="1" applyBorder="1" applyAlignment="1" applyProtection="1"/>
    <xf numFmtId="172" fontId="45" fillId="0" borderId="10" xfId="2" applyNumberFormat="1" applyFont="1" applyFill="1" applyBorder="1" applyAlignment="1" applyProtection="1"/>
    <xf numFmtId="164" fontId="38" fillId="0" borderId="20" xfId="2" applyNumberFormat="1" applyFont="1" applyBorder="1" applyAlignment="1" applyProtection="1"/>
    <xf numFmtId="174" fontId="45" fillId="0" borderId="17" xfId="2" applyNumberFormat="1" applyFont="1" applyFill="1" applyBorder="1" applyAlignment="1" applyProtection="1"/>
    <xf numFmtId="169" fontId="45" fillId="0" borderId="0" xfId="2" applyNumberFormat="1" applyFont="1" applyFill="1" applyBorder="1" applyAlignment="1" applyProtection="1"/>
    <xf numFmtId="169" fontId="45" fillId="0" borderId="18" xfId="2" applyNumberFormat="1" applyFont="1" applyFill="1" applyBorder="1" applyAlignment="1" applyProtection="1"/>
    <xf numFmtId="169" fontId="45" fillId="0" borderId="0" xfId="2" applyNumberFormat="1" applyFont="1" applyBorder="1" applyAlignment="1" applyProtection="1"/>
    <xf numFmtId="174" fontId="45" fillId="0" borderId="17" xfId="2" applyNumberFormat="1" applyFont="1" applyBorder="1" applyAlignment="1" applyProtection="1"/>
    <xf numFmtId="164" fontId="45" fillId="0" borderId="17" xfId="2" applyNumberFormat="1" applyFont="1" applyBorder="1" applyAlignment="1" applyProtection="1"/>
    <xf numFmtId="0" fontId="40" fillId="0" borderId="0" xfId="2" applyNumberFormat="1" applyFont="1" applyBorder="1" applyAlignment="1" applyProtection="1"/>
    <xf numFmtId="3" fontId="40"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40" fillId="0" borderId="0" xfId="2" applyNumberFormat="1" applyFont="1" applyAlignment="1" applyProtection="1">
      <alignment horizontal="left"/>
    </xf>
    <xf numFmtId="165" fontId="48" fillId="0" borderId="0" xfId="2" applyNumberFormat="1" applyFont="1" applyBorder="1" applyAlignment="1" applyProtection="1"/>
    <xf numFmtId="165" fontId="41" fillId="0" borderId="0" xfId="2" applyNumberFormat="1" applyFont="1" applyBorder="1" applyAlignment="1" applyProtection="1"/>
    <xf numFmtId="170" fontId="40" fillId="0" borderId="0" xfId="2" applyNumberFormat="1" applyFont="1" applyProtection="1"/>
    <xf numFmtId="165" fontId="40" fillId="0" borderId="0" xfId="2" applyNumberFormat="1" applyFont="1" applyProtection="1"/>
    <xf numFmtId="165" fontId="38" fillId="0" borderId="0" xfId="2" applyNumberFormat="1" applyFont="1" applyBorder="1" applyAlignment="1" applyProtection="1"/>
    <xf numFmtId="166" fontId="47" fillId="0" borderId="0" xfId="2" quotePrefix="1" applyNumberFormat="1" applyFont="1" applyBorder="1" applyAlignment="1" applyProtection="1">
      <alignment horizontal="left"/>
    </xf>
    <xf numFmtId="164" fontId="0" fillId="0" borderId="0" xfId="0" applyProtection="1"/>
    <xf numFmtId="0" fontId="43" fillId="0" borderId="0" xfId="2" applyNumberFormat="1" applyFont="1" applyAlignment="1" applyProtection="1"/>
    <xf numFmtId="0" fontId="45" fillId="0" borderId="0" xfId="2" quotePrefix="1" applyNumberFormat="1" applyFont="1" applyAlignment="1" applyProtection="1">
      <alignment horizontal="center"/>
    </xf>
    <xf numFmtId="0" fontId="45" fillId="0" borderId="66" xfId="2" applyNumberFormat="1" applyFont="1" applyBorder="1" applyAlignment="1" applyProtection="1">
      <alignment horizontal="center"/>
    </xf>
    <xf numFmtId="165" fontId="40" fillId="0" borderId="20" xfId="2" applyNumberFormat="1" applyFont="1" applyBorder="1" applyProtection="1"/>
    <xf numFmtId="165" fontId="40" fillId="0" borderId="15" xfId="2" applyNumberFormat="1" applyFont="1" applyBorder="1" applyAlignment="1" applyProtection="1"/>
    <xf numFmtId="0" fontId="45" fillId="0" borderId="0" xfId="2" applyNumberFormat="1" applyFont="1" applyAlignment="1" applyProtection="1">
      <alignment horizontal="left"/>
    </xf>
    <xf numFmtId="174" fontId="45" fillId="0" borderId="21" xfId="2" applyNumberFormat="1" applyFont="1" applyBorder="1" applyAlignment="1" applyProtection="1"/>
    <xf numFmtId="174" fontId="45" fillId="0" borderId="0" xfId="2" applyNumberFormat="1" applyFont="1" applyAlignment="1" applyProtection="1">
      <alignment horizontal="right"/>
    </xf>
    <xf numFmtId="168" fontId="45" fillId="0" borderId="0" xfId="2" applyNumberFormat="1" applyFont="1" applyAlignment="1" applyProtection="1"/>
    <xf numFmtId="165" fontId="40" fillId="0" borderId="21" xfId="2" applyNumberFormat="1" applyFont="1" applyBorder="1" applyAlignment="1" applyProtection="1"/>
    <xf numFmtId="0" fontId="38" fillId="0" borderId="0" xfId="2" quotePrefix="1" applyNumberFormat="1" applyFont="1" applyFill="1" applyAlignment="1" applyProtection="1">
      <alignment horizontal="left"/>
    </xf>
    <xf numFmtId="164" fontId="0" fillId="0" borderId="0" xfId="0" applyFill="1" applyProtection="1"/>
    <xf numFmtId="170" fontId="64" fillId="0" borderId="0" xfId="2" applyNumberFormat="1" applyFont="1" applyAlignment="1" applyProtection="1"/>
    <xf numFmtId="194" fontId="38" fillId="0" borderId="0" xfId="2" applyNumberFormat="1" applyFont="1" applyFill="1" applyAlignment="1" applyProtection="1"/>
    <xf numFmtId="174" fontId="38" fillId="0" borderId="0" xfId="2" applyNumberFormat="1" applyFont="1" applyAlignment="1" applyProtection="1"/>
    <xf numFmtId="174" fontId="38" fillId="0" borderId="0" xfId="2" applyNumberFormat="1" applyFont="1" applyBorder="1" applyAlignment="1" applyProtection="1"/>
    <xf numFmtId="165" fontId="0" fillId="0" borderId="0" xfId="2" applyNumberFormat="1" applyFont="1" applyFill="1" applyAlignment="1" applyProtection="1"/>
    <xf numFmtId="0" fontId="45" fillId="0" borderId="0" xfId="2" applyFont="1" applyFill="1" applyAlignment="1" applyProtection="1"/>
    <xf numFmtId="164" fontId="45" fillId="0" borderId="16"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38" fillId="0" borderId="0" xfId="2" applyNumberFormat="1" applyFont="1" applyAlignment="1" applyProtection="1">
      <alignment horizontal="right"/>
    </xf>
    <xf numFmtId="0" fontId="45" fillId="0" borderId="0" xfId="2" applyNumberFormat="1" applyFont="1" applyFill="1" applyAlignment="1" applyProtection="1"/>
    <xf numFmtId="170" fontId="45" fillId="0" borderId="21" xfId="2" applyNumberFormat="1" applyFont="1" applyFill="1" applyBorder="1" applyAlignment="1" applyProtection="1"/>
    <xf numFmtId="170" fontId="65" fillId="0" borderId="0" xfId="2" applyNumberFormat="1" applyFont="1" applyFill="1" applyAlignment="1" applyProtection="1"/>
    <xf numFmtId="165" fontId="45" fillId="0" borderId="0" xfId="2" applyNumberFormat="1" applyFont="1" applyFill="1" applyAlignment="1" applyProtection="1"/>
    <xf numFmtId="0" fontId="38" fillId="0" borderId="0" xfId="2" applyNumberFormat="1" applyFont="1" applyAlignment="1" applyProtection="1">
      <alignment horizontal="left"/>
    </xf>
    <xf numFmtId="165" fontId="40" fillId="0" borderId="0" xfId="2" applyNumberFormat="1" applyFont="1" applyFill="1" applyAlignment="1" applyProtection="1">
      <alignment horizontal="left"/>
    </xf>
    <xf numFmtId="170" fontId="40" fillId="0" borderId="100" xfId="2" applyNumberFormat="1" applyFont="1" applyFill="1" applyBorder="1" applyAlignment="1" applyProtection="1"/>
    <xf numFmtId="170" fontId="64" fillId="0" borderId="0" xfId="2" applyNumberFormat="1" applyFont="1" applyFill="1" applyBorder="1" applyAlignment="1" applyProtection="1"/>
    <xf numFmtId="170" fontId="40" fillId="0" borderId="96" xfId="2" applyNumberFormat="1" applyFont="1" applyBorder="1" applyAlignment="1" applyProtection="1"/>
    <xf numFmtId="170" fontId="38" fillId="0" borderId="19" xfId="2" applyNumberFormat="1" applyFont="1" applyBorder="1" applyAlignment="1" applyProtection="1"/>
    <xf numFmtId="170" fontId="45" fillId="0" borderId="100" xfId="2" applyNumberFormat="1" applyFont="1" applyBorder="1" applyAlignment="1" applyProtection="1"/>
    <xf numFmtId="166" fontId="45" fillId="0" borderId="0" xfId="2" applyNumberFormat="1" applyFont="1" applyBorder="1" applyAlignment="1" applyProtection="1">
      <alignment horizontal="right"/>
    </xf>
    <xf numFmtId="3" fontId="40" fillId="0" borderId="0" xfId="2" applyNumberFormat="1" applyFont="1" applyFill="1" applyAlignment="1" applyProtection="1"/>
    <xf numFmtId="166" fontId="40" fillId="0" borderId="0" xfId="2" quotePrefix="1" applyNumberFormat="1" applyFont="1" applyFill="1" applyAlignment="1" applyProtection="1">
      <alignment horizontal="right"/>
    </xf>
    <xf numFmtId="166" fontId="38" fillId="0" borderId="0" xfId="2" applyNumberFormat="1" applyFont="1" applyFill="1" applyBorder="1" applyAlignment="1" applyProtection="1"/>
    <xf numFmtId="3" fontId="40" fillId="0" borderId="0" xfId="2" applyNumberFormat="1" applyFont="1" applyFill="1" applyAlignment="1" applyProtection="1">
      <alignment horizontal="left"/>
    </xf>
    <xf numFmtId="196" fontId="40" fillId="0" borderId="0" xfId="2" applyNumberFormat="1" applyFont="1" applyFill="1" applyAlignment="1" applyProtection="1"/>
    <xf numFmtId="170" fontId="38" fillId="0" borderId="19" xfId="2" applyNumberFormat="1" applyFont="1" applyFill="1" applyBorder="1" applyAlignment="1" applyProtection="1"/>
    <xf numFmtId="164" fontId="38" fillId="0" borderId="19" xfId="2" applyNumberFormat="1" applyFont="1" applyFill="1" applyBorder="1" applyAlignment="1" applyProtection="1"/>
    <xf numFmtId="170" fontId="45" fillId="0" borderId="100" xfId="2" applyNumberFormat="1" applyFont="1" applyFill="1" applyBorder="1" applyAlignment="1" applyProtection="1"/>
    <xf numFmtId="164" fontId="45" fillId="0" borderId="66" xfId="2" applyNumberFormat="1" applyFont="1" applyFill="1" applyBorder="1" applyAlignment="1" applyProtection="1"/>
    <xf numFmtId="170" fontId="0" fillId="0" borderId="0" xfId="2" applyNumberFormat="1" applyFont="1" applyBorder="1" applyAlignment="1" applyProtection="1"/>
    <xf numFmtId="170" fontId="40" fillId="0" borderId="0" xfId="5" applyNumberFormat="1" applyFont="1" applyFill="1" applyProtection="1"/>
    <xf numFmtId="174" fontId="45" fillId="0" borderId="101" xfId="2" applyNumberFormat="1" applyFont="1" applyBorder="1" applyAlignment="1" applyProtection="1"/>
    <xf numFmtId="168" fontId="40" fillId="0" borderId="36" xfId="2" applyNumberFormat="1" applyFont="1" applyBorder="1" applyAlignment="1" applyProtection="1"/>
    <xf numFmtId="168" fontId="40" fillId="0" borderId="0" xfId="2" applyNumberFormat="1" applyFont="1" applyBorder="1" applyAlignment="1" applyProtection="1"/>
    <xf numFmtId="168" fontId="38" fillId="0" borderId="0" xfId="2" applyNumberFormat="1" applyFont="1" applyAlignment="1" applyProtection="1"/>
    <xf numFmtId="0" fontId="0" fillId="0" borderId="0" xfId="2" applyFont="1" applyFill="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88" fillId="0" borderId="0" xfId="2" applyNumberFormat="1" applyFont="1" applyFill="1" applyAlignment="1" applyProtection="1"/>
    <xf numFmtId="0" fontId="81" fillId="0" borderId="0" xfId="2" applyNumberFormat="1" applyFont="1" applyFill="1" applyAlignment="1" applyProtection="1"/>
    <xf numFmtId="165" fontId="88" fillId="0" borderId="0" xfId="2" applyNumberFormat="1" applyFont="1" applyFill="1" applyAlignment="1" applyProtection="1">
      <alignment horizontal="centerContinuous"/>
    </xf>
    <xf numFmtId="0" fontId="45"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5" fillId="0" borderId="0" xfId="2" applyNumberFormat="1" applyFont="1" applyFill="1" applyAlignment="1" applyProtection="1">
      <alignment horizontal="center"/>
    </xf>
    <xf numFmtId="0" fontId="45" fillId="0" borderId="10" xfId="2" applyNumberFormat="1" applyFont="1" applyFill="1" applyBorder="1" applyAlignment="1" applyProtection="1">
      <alignment horizontal="center"/>
    </xf>
    <xf numFmtId="0" fontId="45" fillId="0" borderId="0" xfId="2" applyNumberFormat="1" applyFont="1" applyFill="1" applyBorder="1" applyAlignment="1" applyProtection="1">
      <alignment horizontal="center"/>
    </xf>
    <xf numFmtId="165" fontId="45" fillId="0" borderId="10" xfId="2" applyNumberFormat="1" applyFont="1" applyFill="1" applyBorder="1" applyAlignment="1" applyProtection="1">
      <alignment horizontal="center"/>
    </xf>
    <xf numFmtId="166" fontId="45" fillId="0" borderId="15" xfId="2" applyNumberFormat="1" applyFont="1" applyFill="1" applyBorder="1" applyAlignment="1" applyProtection="1"/>
    <xf numFmtId="0" fontId="38" fillId="0" borderId="0" xfId="2" applyFont="1" applyFill="1" applyBorder="1" applyProtection="1"/>
    <xf numFmtId="174" fontId="40" fillId="0" borderId="0" xfId="2" applyNumberFormat="1" applyFont="1" applyFill="1" applyAlignment="1" applyProtection="1"/>
    <xf numFmtId="166" fontId="45" fillId="0" borderId="0" xfId="2" applyNumberFormat="1" applyFont="1" applyFill="1" applyAlignment="1" applyProtection="1">
      <alignment horizontal="right"/>
    </xf>
    <xf numFmtId="164" fontId="45" fillId="0" borderId="0" xfId="0" applyNumberFormat="1" applyFont="1" applyFill="1" applyBorder="1" applyAlignment="1" applyProtection="1"/>
    <xf numFmtId="0" fontId="0" fillId="0" borderId="0" xfId="2" applyFont="1" applyFill="1" applyBorder="1" applyProtection="1"/>
    <xf numFmtId="169" fontId="40" fillId="0" borderId="0" xfId="2" quotePrefix="1" applyNumberFormat="1" applyFont="1" applyFill="1" applyAlignment="1" applyProtection="1">
      <alignment horizontal="right"/>
    </xf>
    <xf numFmtId="170" fontId="45" fillId="0" borderId="15" xfId="2" applyNumberFormat="1" applyFont="1" applyFill="1" applyBorder="1" applyAlignment="1" applyProtection="1"/>
    <xf numFmtId="170" fontId="0" fillId="0" borderId="0" xfId="2" applyNumberFormat="1" applyFont="1" applyFill="1" applyBorder="1" applyProtection="1"/>
    <xf numFmtId="0" fontId="40" fillId="0" borderId="0" xfId="2" applyNumberFormat="1" applyFont="1" applyFill="1" applyAlignment="1" applyProtection="1">
      <alignment horizontal="left"/>
    </xf>
    <xf numFmtId="170" fontId="38" fillId="0" borderId="0" xfId="1" applyNumberFormat="1" applyFont="1" applyFill="1" applyAlignment="1" applyProtection="1">
      <alignment horizontal="right"/>
    </xf>
    <xf numFmtId="170" fontId="38" fillId="0" borderId="15" xfId="1" applyNumberFormat="1" applyFont="1" applyFill="1" applyBorder="1" applyAlignment="1" applyProtection="1">
      <alignment horizontal="right"/>
    </xf>
    <xf numFmtId="166" fontId="38" fillId="0" borderId="0" xfId="2" applyNumberFormat="1" applyFont="1" applyFill="1" applyAlignment="1" applyProtection="1">
      <alignment horizontal="right"/>
    </xf>
    <xf numFmtId="0" fontId="38" fillId="0" borderId="0" xfId="5517" applyFont="1" applyFill="1" applyProtection="1"/>
    <xf numFmtId="166" fontId="0" fillId="0" borderId="0" xfId="2" applyNumberFormat="1" applyFont="1" applyFill="1" applyBorder="1" applyProtection="1"/>
    <xf numFmtId="164" fontId="40" fillId="0" borderId="66" xfId="0" applyNumberFormat="1" applyFont="1" applyFill="1" applyBorder="1" applyAlignment="1" applyProtection="1"/>
    <xf numFmtId="170" fontId="38" fillId="0" borderId="0" xfId="2" quotePrefix="1" applyNumberFormat="1" applyFont="1" applyFill="1" applyAlignment="1" applyProtection="1">
      <alignment horizontal="center"/>
    </xf>
    <xf numFmtId="170" fontId="45" fillId="0" borderId="15" xfId="2" applyNumberFormat="1" applyFont="1" applyFill="1" applyBorder="1" applyAlignment="1" applyProtection="1">
      <alignment horizontal="right"/>
    </xf>
    <xf numFmtId="170" fontId="45" fillId="0" borderId="45" xfId="1046" applyNumberFormat="1" applyFont="1" applyFill="1" applyBorder="1" applyProtection="1"/>
    <xf numFmtId="170" fontId="45" fillId="0" borderId="0" xfId="2" applyNumberFormat="1" applyFont="1" applyFill="1" applyAlignment="1" applyProtection="1">
      <alignment horizontal="right"/>
    </xf>
    <xf numFmtId="170" fontId="40"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8" fillId="0" borderId="0" xfId="2" applyNumberFormat="1" applyFont="1" applyFill="1" applyBorder="1" applyProtection="1"/>
    <xf numFmtId="0" fontId="165" fillId="0" borderId="0" xfId="2" applyFont="1" applyFill="1" applyProtection="1"/>
    <xf numFmtId="172" fontId="38" fillId="0" borderId="0" xfId="0" applyNumberFormat="1" applyFont="1" applyFill="1" applyProtection="1"/>
    <xf numFmtId="43" fontId="0" fillId="0" borderId="0" xfId="2" applyNumberFormat="1" applyFont="1" applyFill="1" applyProtection="1"/>
    <xf numFmtId="170" fontId="45" fillId="0" borderId="0" xfId="2" quotePrefix="1" applyNumberFormat="1" applyFont="1" applyFill="1" applyAlignment="1" applyProtection="1"/>
    <xf numFmtId="166" fontId="45" fillId="0" borderId="0" xfId="2" applyNumberFormat="1" applyFont="1" applyFill="1" applyBorder="1" applyProtection="1"/>
    <xf numFmtId="0" fontId="45" fillId="0" borderId="0" xfId="2" applyFont="1" applyFill="1" applyProtection="1"/>
    <xf numFmtId="164" fontId="45" fillId="0" borderId="0" xfId="2" applyNumberFormat="1" applyFont="1" applyFill="1" applyBorder="1" applyProtection="1"/>
    <xf numFmtId="170" fontId="38" fillId="0" borderId="20" xfId="2" quotePrefix="1" applyNumberFormat="1" applyFont="1" applyFill="1" applyBorder="1" applyAlignment="1" applyProtection="1"/>
    <xf numFmtId="170" fontId="38" fillId="0" borderId="46" xfId="0" quotePrefix="1" applyNumberFormat="1" applyFont="1" applyFill="1" applyBorder="1" applyAlignment="1" applyProtection="1">
      <alignment horizontal="right"/>
    </xf>
    <xf numFmtId="0" fontId="38" fillId="0" borderId="0" xfId="5517" applyFont="1" applyFill="1" applyBorder="1" applyProtection="1"/>
    <xf numFmtId="170" fontId="45" fillId="0" borderId="43" xfId="2" applyNumberFormat="1" applyFont="1" applyFill="1" applyBorder="1" applyAlignment="1" applyProtection="1"/>
    <xf numFmtId="166" fontId="45" fillId="0" borderId="0" xfId="2" applyNumberFormat="1" applyFont="1" applyFill="1" applyBorder="1" applyAlignment="1" applyProtection="1"/>
    <xf numFmtId="164" fontId="45" fillId="0" borderId="66" xfId="0" applyNumberFormat="1" applyFont="1" applyFill="1" applyBorder="1" applyAlignment="1" applyProtection="1"/>
    <xf numFmtId="0" fontId="45" fillId="0" borderId="0" xfId="2" applyFont="1" applyFill="1" applyBorder="1" applyProtection="1"/>
    <xf numFmtId="170" fontId="40" fillId="0" borderId="0" xfId="2" applyNumberFormat="1" applyFont="1" applyFill="1" applyAlignment="1" applyProtection="1">
      <alignment horizontal="center"/>
    </xf>
    <xf numFmtId="170" fontId="45" fillId="0" borderId="15" xfId="2" applyNumberFormat="1" applyFont="1" applyFill="1" applyBorder="1" applyAlignment="1" applyProtection="1">
      <alignment horizontal="center"/>
    </xf>
    <xf numFmtId="170" fontId="40" fillId="0" borderId="0" xfId="2" applyNumberFormat="1" applyFont="1" applyFill="1" applyAlignment="1" applyProtection="1">
      <alignment horizontal="right" vertical="center"/>
    </xf>
    <xf numFmtId="170" fontId="40" fillId="0" borderId="21" xfId="2" applyNumberFormat="1" applyFont="1" applyFill="1" applyBorder="1" applyAlignment="1" applyProtection="1">
      <alignment horizontal="right" vertical="center"/>
    </xf>
    <xf numFmtId="170" fontId="40" fillId="0" borderId="0" xfId="2" applyNumberFormat="1" applyFont="1" applyFill="1" applyBorder="1" applyAlignment="1" applyProtection="1">
      <alignment horizontal="right"/>
    </xf>
    <xf numFmtId="170" fontId="40" fillId="0" borderId="66" xfId="2" applyNumberFormat="1" applyFont="1" applyFill="1" applyBorder="1" applyAlignment="1" applyProtection="1"/>
    <xf numFmtId="170" fontId="45" fillId="0" borderId="15" xfId="2" applyNumberFormat="1" applyFont="1" applyFill="1" applyBorder="1" applyProtection="1"/>
    <xf numFmtId="170" fontId="45" fillId="0" borderId="66" xfId="6" applyNumberFormat="1" applyFont="1" applyFill="1" applyBorder="1" applyAlignment="1" applyProtection="1"/>
    <xf numFmtId="170" fontId="45" fillId="0" borderId="0" xfId="6" applyNumberFormat="1" applyFont="1" applyFill="1" applyAlignment="1" applyProtection="1"/>
    <xf numFmtId="170" fontId="45" fillId="0" borderId="21" xfId="6" applyNumberFormat="1" applyFont="1" applyFill="1" applyBorder="1" applyAlignment="1" applyProtection="1"/>
    <xf numFmtId="170" fontId="45"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5" fillId="0" borderId="81" xfId="2" applyNumberFormat="1" applyFont="1" applyFill="1" applyBorder="1" applyProtection="1"/>
    <xf numFmtId="0" fontId="83" fillId="0" borderId="0" xfId="2" applyFont="1" applyFill="1" applyProtection="1"/>
    <xf numFmtId="166" fontId="0" fillId="0" borderId="0" xfId="2" applyNumberFormat="1" applyFont="1" applyFill="1" applyProtection="1"/>
    <xf numFmtId="0" fontId="43" fillId="0" borderId="0" xfId="4" applyFont="1" applyFill="1" applyProtection="1"/>
    <xf numFmtId="166" fontId="43" fillId="0" borderId="0" xfId="4" applyNumberFormat="1" applyFont="1" applyFill="1" applyProtection="1"/>
    <xf numFmtId="43" fontId="43"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4" fillId="0" borderId="0" xfId="5" applyFont="1" applyFill="1" applyBorder="1" applyAlignment="1" applyProtection="1">
      <alignment horizontal="right"/>
    </xf>
    <xf numFmtId="0" fontId="45" fillId="0" borderId="0" xfId="4" applyNumberFormat="1" applyFont="1" applyFill="1" applyAlignment="1" applyProtection="1">
      <alignment horizontal="center"/>
    </xf>
    <xf numFmtId="166" fontId="45" fillId="0" borderId="0" xfId="4" applyNumberFormat="1" applyFont="1" applyFill="1" applyProtection="1"/>
    <xf numFmtId="0" fontId="45" fillId="0" borderId="0" xfId="4" applyFont="1" applyFill="1" applyAlignment="1" applyProtection="1">
      <alignment horizontal="center"/>
    </xf>
    <xf numFmtId="0" fontId="45" fillId="0" borderId="0" xfId="4" applyFont="1" applyFill="1" applyBorder="1" applyProtection="1"/>
    <xf numFmtId="166" fontId="45" fillId="0" borderId="0" xfId="4" applyNumberFormat="1" applyFont="1" applyBorder="1" applyAlignment="1" applyProtection="1">
      <alignment horizontal="center"/>
    </xf>
    <xf numFmtId="165" fontId="45" fillId="0" borderId="0" xfId="4" applyNumberFormat="1" applyFont="1" applyBorder="1" applyAlignment="1" applyProtection="1"/>
    <xf numFmtId="165" fontId="45" fillId="0" borderId="0" xfId="4" applyNumberFormat="1" applyFont="1" applyBorder="1" applyAlignment="1" applyProtection="1">
      <alignment horizontal="center"/>
    </xf>
    <xf numFmtId="0" fontId="45" fillId="0" borderId="10" xfId="4" applyFont="1" applyFill="1" applyBorder="1" applyAlignment="1" applyProtection="1">
      <alignment horizontal="center"/>
    </xf>
    <xf numFmtId="166" fontId="45" fillId="0" borderId="10" xfId="4" applyNumberFormat="1" applyFont="1" applyFill="1" applyBorder="1" applyAlignment="1" applyProtection="1">
      <alignment horizontal="center"/>
    </xf>
    <xf numFmtId="0" fontId="45" fillId="0" borderId="10" xfId="4" quotePrefix="1" applyFont="1" applyFill="1" applyBorder="1" applyAlignment="1" applyProtection="1">
      <alignment horizontal="center"/>
    </xf>
    <xf numFmtId="0" fontId="45" fillId="0" borderId="10" xfId="4" applyNumberFormat="1" applyFont="1" applyFill="1" applyBorder="1" applyAlignment="1" applyProtection="1">
      <alignment horizontal="center"/>
    </xf>
    <xf numFmtId="0" fontId="45" fillId="0" borderId="0" xfId="4" applyNumberFormat="1" applyFont="1" applyFill="1" applyBorder="1" applyAlignment="1" applyProtection="1">
      <alignment horizontal="center"/>
    </xf>
    <xf numFmtId="166" fontId="45" fillId="0" borderId="10" xfId="4" applyNumberFormat="1" applyFont="1" applyBorder="1" applyAlignment="1" applyProtection="1">
      <alignment horizontal="center"/>
    </xf>
    <xf numFmtId="165" fontId="45" fillId="0" borderId="0" xfId="4" applyNumberFormat="1" applyFont="1" applyAlignment="1" applyProtection="1"/>
    <xf numFmtId="0" fontId="40" fillId="0" borderId="0" xfId="4" applyFont="1" applyFill="1" applyBorder="1" applyAlignment="1" applyProtection="1">
      <alignment horizontal="center"/>
    </xf>
    <xf numFmtId="0" fontId="40" fillId="0" borderId="0" xfId="4" applyFont="1" applyFill="1" applyAlignment="1" applyProtection="1">
      <alignment horizontal="center"/>
    </xf>
    <xf numFmtId="166" fontId="40" fillId="0" borderId="0" xfId="4" applyNumberFormat="1" applyFont="1" applyFill="1" applyBorder="1" applyAlignment="1" applyProtection="1">
      <alignment horizontal="center"/>
    </xf>
    <xf numFmtId="0" fontId="40" fillId="0" borderId="0" xfId="4" quotePrefix="1" applyFont="1" applyFill="1" applyBorder="1" applyAlignment="1" applyProtection="1">
      <alignment horizontal="center"/>
    </xf>
    <xf numFmtId="169" fontId="40" fillId="0" borderId="0" xfId="4" applyNumberFormat="1" applyFont="1" applyFill="1" applyBorder="1" applyAlignment="1" applyProtection="1">
      <alignment horizontal="center"/>
    </xf>
    <xf numFmtId="0" fontId="40" fillId="0" borderId="0" xfId="4" applyNumberFormat="1" applyFont="1" applyFill="1" applyBorder="1" applyAlignment="1" applyProtection="1">
      <alignment horizontal="center"/>
    </xf>
    <xf numFmtId="0" fontId="40" fillId="0" borderId="15" xfId="4" applyNumberFormat="1" applyFont="1" applyFill="1" applyBorder="1" applyAlignment="1" applyProtection="1">
      <alignment horizontal="center"/>
    </xf>
    <xf numFmtId="0" fontId="45" fillId="0" borderId="0" xfId="4" applyFont="1" applyFill="1" applyAlignment="1" applyProtection="1">
      <alignment horizontal="left"/>
    </xf>
    <xf numFmtId="174" fontId="45" fillId="0" borderId="0" xfId="4" quotePrefix="1" applyNumberFormat="1" applyFont="1" applyFill="1" applyAlignment="1" applyProtection="1">
      <alignment horizontal="right"/>
    </xf>
    <xf numFmtId="174" fontId="45" fillId="0" borderId="13" xfId="4" applyNumberFormat="1" applyFont="1" applyFill="1" applyBorder="1" applyProtection="1"/>
    <xf numFmtId="174" fontId="45" fillId="0" borderId="0" xfId="4" applyNumberFormat="1" applyFont="1" applyFill="1" applyBorder="1" applyAlignment="1" applyProtection="1">
      <alignment horizontal="center"/>
    </xf>
    <xf numFmtId="174" fontId="45" fillId="0" borderId="15" xfId="4" applyNumberFormat="1" applyFont="1" applyFill="1" applyBorder="1" applyProtection="1"/>
    <xf numFmtId="174" fontId="45" fillId="0" borderId="0" xfId="4" applyNumberFormat="1" applyFont="1" applyFill="1" applyBorder="1" applyProtection="1"/>
    <xf numFmtId="164" fontId="45" fillId="0" borderId="0" xfId="4" applyNumberFormat="1" applyFont="1" applyFill="1" applyProtection="1"/>
    <xf numFmtId="0" fontId="40" fillId="0" borderId="13" xfId="4" applyFont="1" applyFill="1" applyBorder="1" applyProtection="1"/>
    <xf numFmtId="166" fontId="40" fillId="0" borderId="13" xfId="4" applyNumberFormat="1" applyFont="1" applyFill="1" applyBorder="1" applyProtection="1"/>
    <xf numFmtId="166" fontId="40" fillId="0" borderId="15" xfId="4" applyNumberFormat="1" applyFont="1" applyFill="1" applyBorder="1" applyProtection="1"/>
    <xf numFmtId="166" fontId="40" fillId="0" borderId="0" xfId="4" applyNumberFormat="1" applyFont="1" applyFill="1" applyBorder="1" applyProtection="1"/>
    <xf numFmtId="166" fontId="60" fillId="0" borderId="0" xfId="2" applyNumberFormat="1" applyFont="1" applyAlignment="1" applyProtection="1">
      <alignment horizontal="right"/>
    </xf>
    <xf numFmtId="0" fontId="40" fillId="0" borderId="75" xfId="4" applyFont="1" applyFill="1" applyBorder="1" applyProtection="1"/>
    <xf numFmtId="170" fontId="40" fillId="0" borderId="0" xfId="4" applyNumberFormat="1" applyFont="1" applyFill="1" applyBorder="1" applyProtection="1"/>
    <xf numFmtId="0" fontId="40" fillId="0" borderId="79" xfId="4" applyFont="1" applyFill="1" applyBorder="1" applyProtection="1"/>
    <xf numFmtId="170" fontId="45" fillId="0" borderId="16" xfId="4" applyNumberFormat="1" applyFont="1" applyFill="1" applyBorder="1" applyProtection="1"/>
    <xf numFmtId="170" fontId="45" fillId="0" borderId="45" xfId="4" applyNumberFormat="1" applyFont="1" applyFill="1" applyBorder="1" applyProtection="1"/>
    <xf numFmtId="170" fontId="40" fillId="0" borderId="0" xfId="4" applyNumberFormat="1" applyFont="1" applyFill="1" applyBorder="1" applyAlignment="1" applyProtection="1">
      <alignment horizontal="center"/>
    </xf>
    <xf numFmtId="170" fontId="40" fillId="0" borderId="15" xfId="4" applyNumberFormat="1" applyFont="1" applyFill="1" applyBorder="1" applyProtection="1"/>
    <xf numFmtId="0" fontId="40" fillId="0" borderId="106" xfId="4" applyFont="1" applyFill="1" applyBorder="1" applyProtection="1"/>
    <xf numFmtId="170" fontId="45" fillId="0" borderId="0" xfId="5517" applyNumberFormat="1" applyFont="1" applyFill="1" applyBorder="1" applyProtection="1"/>
    <xf numFmtId="170" fontId="45" fillId="0" borderId="0" xfId="4" applyNumberFormat="1" applyFont="1" applyFill="1" applyProtection="1"/>
    <xf numFmtId="170" fontId="45" fillId="0" borderId="13" xfId="4" applyNumberFormat="1" applyFont="1" applyFill="1" applyBorder="1" applyProtection="1"/>
    <xf numFmtId="170" fontId="45" fillId="0" borderId="0" xfId="4" applyNumberFormat="1" applyFont="1" applyFill="1" applyBorder="1" applyAlignment="1" applyProtection="1">
      <alignment horizontal="center"/>
    </xf>
    <xf numFmtId="170" fontId="45" fillId="0" borderId="15" xfId="4" applyNumberFormat="1" applyFont="1" applyFill="1" applyBorder="1" applyProtection="1"/>
    <xf numFmtId="172" fontId="45" fillId="0" borderId="16" xfId="0" applyNumberFormat="1" applyFont="1" applyBorder="1" applyAlignment="1" applyProtection="1"/>
    <xf numFmtId="0" fontId="44" fillId="0" borderId="0" xfId="4" applyFont="1" applyFill="1" applyProtection="1"/>
    <xf numFmtId="170" fontId="45" fillId="0" borderId="75" xfId="4" applyNumberFormat="1" applyFont="1" applyFill="1" applyBorder="1" applyProtection="1"/>
    <xf numFmtId="170" fontId="45" fillId="0" borderId="0" xfId="4" applyNumberFormat="1" applyFont="1" applyFill="1" applyBorder="1" applyProtection="1"/>
    <xf numFmtId="0" fontId="38" fillId="0" borderId="0" xfId="4" applyFont="1" applyFill="1" applyProtection="1"/>
    <xf numFmtId="170" fontId="38" fillId="0" borderId="0" xfId="5517" applyNumberFormat="1" applyFont="1" applyFill="1" applyBorder="1" applyProtection="1"/>
    <xf numFmtId="170" fontId="40" fillId="0" borderId="13" xfId="4" applyNumberFormat="1" applyFont="1" applyFill="1" applyBorder="1" applyProtection="1"/>
    <xf numFmtId="170" fontId="38" fillId="0" borderId="66" xfId="5517" quotePrefix="1" applyNumberFormat="1" applyFont="1" applyFill="1" applyBorder="1" applyAlignment="1" applyProtection="1">
      <alignment horizontal="center"/>
    </xf>
    <xf numFmtId="170" fontId="40" fillId="0" borderId="10" xfId="4" quotePrefix="1" applyNumberFormat="1" applyFont="1" applyFill="1" applyBorder="1" applyAlignment="1" applyProtection="1"/>
    <xf numFmtId="170" fontId="38" fillId="0" borderId="46" xfId="5517" applyNumberFormat="1" applyFont="1" applyFill="1" applyBorder="1" applyProtection="1"/>
    <xf numFmtId="170" fontId="40" fillId="0" borderId="46" xfId="4" applyNumberFormat="1" applyFont="1" applyFill="1" applyBorder="1" applyProtection="1"/>
    <xf numFmtId="170" fontId="45" fillId="0" borderId="66" xfId="5517" applyNumberFormat="1" applyFont="1" applyFill="1" applyBorder="1" applyProtection="1"/>
    <xf numFmtId="170" fontId="45" fillId="0" borderId="0" xfId="5517" applyNumberFormat="1" applyFont="1" applyFill="1" applyProtection="1"/>
    <xf numFmtId="170" fontId="45" fillId="0" borderId="0" xfId="5517" applyNumberFormat="1" applyFont="1" applyFill="1" applyAlignment="1" applyProtection="1">
      <alignment horizontal="right"/>
    </xf>
    <xf numFmtId="170" fontId="45" fillId="0" borderId="0" xfId="4" applyNumberFormat="1" applyFont="1" applyFill="1" applyAlignment="1" applyProtection="1">
      <alignment horizontal="right"/>
    </xf>
    <xf numFmtId="170" fontId="45" fillId="0" borderId="10" xfId="4" applyNumberFormat="1" applyFont="1" applyFill="1" applyBorder="1" applyProtection="1"/>
    <xf numFmtId="39" fontId="44" fillId="0" borderId="0" xfId="4" applyNumberFormat="1" applyFont="1" applyFill="1" applyBorder="1" applyProtection="1"/>
    <xf numFmtId="0" fontId="45" fillId="0" borderId="0" xfId="4" quotePrefix="1" applyFont="1" applyFill="1" applyAlignment="1" applyProtection="1">
      <alignment horizontal="left"/>
    </xf>
    <xf numFmtId="0" fontId="40" fillId="0" borderId="0" xfId="4" quotePrefix="1" applyFont="1" applyFill="1" applyAlignment="1" applyProtection="1">
      <alignment horizontal="left"/>
    </xf>
    <xf numFmtId="170" fontId="38" fillId="0" borderId="0" xfId="5517" quotePrefix="1" applyNumberFormat="1" applyFont="1" applyFill="1" applyAlignment="1" applyProtection="1">
      <alignment horizontal="right"/>
    </xf>
    <xf numFmtId="0" fontId="38" fillId="0" borderId="0" xfId="4" quotePrefix="1" applyFont="1" applyFill="1" applyAlignment="1" applyProtection="1">
      <alignment horizontal="left"/>
    </xf>
    <xf numFmtId="0" fontId="38" fillId="0" borderId="0" xfId="4" applyFont="1" applyFill="1" applyAlignment="1" applyProtection="1">
      <alignment horizontal="left"/>
    </xf>
    <xf numFmtId="170" fontId="38" fillId="0" borderId="66" xfId="5517" applyNumberFormat="1" applyFont="1" applyFill="1" applyBorder="1" applyProtection="1"/>
    <xf numFmtId="170" fontId="40" fillId="0" borderId="10" xfId="4" applyNumberFormat="1" applyFont="1" applyFill="1" applyBorder="1" applyProtection="1"/>
    <xf numFmtId="39" fontId="58" fillId="0" borderId="0" xfId="4" applyNumberFormat="1" applyFont="1" applyFill="1" applyBorder="1" applyProtection="1"/>
    <xf numFmtId="170" fontId="38" fillId="0" borderId="0" xfId="5517" applyNumberFormat="1" applyFont="1" applyFill="1" applyAlignment="1" applyProtection="1">
      <alignment horizontal="right"/>
    </xf>
    <xf numFmtId="170" fontId="40" fillId="0" borderId="0" xfId="4" applyNumberFormat="1" applyFont="1" applyFill="1" applyAlignment="1" applyProtection="1">
      <alignment horizontal="right"/>
    </xf>
    <xf numFmtId="170" fontId="45" fillId="0" borderId="0" xfId="5517" applyNumberFormat="1" applyFont="1" applyFill="1" applyBorder="1" applyAlignment="1" applyProtection="1">
      <alignment horizontal="right"/>
    </xf>
    <xf numFmtId="170" fontId="38" fillId="0" borderId="66" xfId="1046" applyNumberFormat="1" applyFont="1" applyFill="1" applyBorder="1" applyProtection="1"/>
    <xf numFmtId="170" fontId="40" fillId="0" borderId="46" xfId="4" applyNumberFormat="1" applyFont="1" applyFill="1" applyBorder="1" applyAlignment="1" applyProtection="1">
      <alignment horizontal="center"/>
    </xf>
    <xf numFmtId="170" fontId="40" fillId="0" borderId="0" xfId="4" applyNumberFormat="1" applyFont="1" applyFill="1" applyAlignment="1" applyProtection="1">
      <alignment horizontal="center"/>
    </xf>
    <xf numFmtId="166" fontId="40" fillId="0" borderId="0" xfId="4" applyNumberFormat="1" applyFont="1" applyFill="1" applyAlignment="1" applyProtection="1">
      <alignment horizontal="center"/>
    </xf>
    <xf numFmtId="166" fontId="40" fillId="0" borderId="19" xfId="4" applyNumberFormat="1" applyFont="1" applyFill="1" applyBorder="1" applyProtection="1"/>
    <xf numFmtId="166" fontId="40" fillId="0" borderId="19" xfId="4" applyNumberFormat="1" applyFont="1" applyFill="1" applyBorder="1" applyAlignment="1" applyProtection="1">
      <alignment horizontal="right"/>
    </xf>
    <xf numFmtId="166" fontId="40" fillId="0" borderId="0" xfId="4" applyNumberFormat="1" applyFont="1" applyFill="1" applyBorder="1" applyAlignment="1" applyProtection="1">
      <alignment horizontal="right"/>
    </xf>
    <xf numFmtId="174" fontId="45" fillId="0" borderId="17" xfId="4" applyNumberFormat="1" applyFont="1" applyFill="1" applyBorder="1" applyProtection="1"/>
    <xf numFmtId="174" fontId="45" fillId="0" borderId="17" xfId="4" applyNumberFormat="1" applyFont="1" applyFill="1" applyBorder="1" applyAlignment="1" applyProtection="1">
      <alignment horizontal="center"/>
    </xf>
    <xf numFmtId="7" fontId="44" fillId="0" borderId="0" xfId="4" applyNumberFormat="1" applyFont="1" applyFill="1" applyBorder="1" applyProtection="1"/>
    <xf numFmtId="169" fontId="43" fillId="0" borderId="0" xfId="4" applyNumberFormat="1" applyFont="1" applyFill="1" applyBorder="1" applyProtection="1"/>
    <xf numFmtId="169" fontId="43" fillId="0" borderId="0" xfId="4" applyNumberFormat="1" applyFont="1" applyFill="1" applyProtection="1"/>
    <xf numFmtId="169" fontId="43" fillId="0" borderId="0" xfId="4" quotePrefix="1" applyNumberFormat="1" applyFont="1" applyFill="1" applyBorder="1" applyAlignment="1" applyProtection="1">
      <alignment horizontal="right"/>
    </xf>
    <xf numFmtId="0" fontId="43" fillId="0" borderId="0" xfId="4" applyNumberFormat="1" applyFont="1" applyFill="1" applyBorder="1" applyAlignment="1" applyProtection="1">
      <alignment horizontal="center"/>
    </xf>
    <xf numFmtId="0" fontId="43" fillId="0" borderId="0" xfId="4" applyFont="1" applyFill="1" applyBorder="1" applyProtection="1"/>
    <xf numFmtId="164" fontId="43" fillId="0" borderId="0" xfId="4" applyNumberFormat="1" applyFont="1" applyFill="1" applyBorder="1" applyProtection="1"/>
    <xf numFmtId="39" fontId="43" fillId="0" borderId="0" xfId="4" applyNumberFormat="1" applyFont="1" applyFill="1" applyProtection="1"/>
    <xf numFmtId="174" fontId="43" fillId="0" borderId="0" xfId="4" applyNumberFormat="1" applyFont="1" applyFill="1" applyProtection="1"/>
    <xf numFmtId="43" fontId="43" fillId="0" borderId="0" xfId="5" applyFont="1" applyFill="1" applyProtection="1"/>
    <xf numFmtId="0" fontId="43" fillId="0" borderId="0" xfId="4" quotePrefix="1" applyFont="1" applyFill="1" applyAlignment="1" applyProtection="1">
      <alignment horizontal="left"/>
    </xf>
    <xf numFmtId="170" fontId="43" fillId="0" borderId="0" xfId="4" quotePrefix="1" applyNumberFormat="1" applyFont="1" applyFill="1" applyAlignment="1" applyProtection="1">
      <alignment horizontal="left"/>
    </xf>
    <xf numFmtId="43" fontId="43"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8"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8"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5" fillId="0" borderId="13" xfId="2" applyNumberFormat="1" applyFont="1" applyBorder="1" applyAlignment="1" applyProtection="1"/>
    <xf numFmtId="170" fontId="64" fillId="0" borderId="0" xfId="2" applyNumberFormat="1" applyFont="1" applyBorder="1" applyAlignment="1" applyProtection="1"/>
    <xf numFmtId="3" fontId="38" fillId="0" borderId="0" xfId="2" applyNumberFormat="1" applyFont="1" applyAlignment="1" applyProtection="1">
      <alignment vertical="center"/>
    </xf>
    <xf numFmtId="3" fontId="38"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5"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7" fillId="0" borderId="0" xfId="2" applyNumberFormat="1" applyFont="1" applyFill="1" applyAlignment="1" applyProtection="1"/>
    <xf numFmtId="166" fontId="38" fillId="0" borderId="0" xfId="2" applyNumberFormat="1" applyFont="1" applyAlignment="1" applyProtection="1">
      <alignment horizontal="left"/>
    </xf>
    <xf numFmtId="0" fontId="66" fillId="0" borderId="0" xfId="1776" applyNumberFormat="1" applyFont="1" applyAlignment="1" applyProtection="1"/>
    <xf numFmtId="165" fontId="43" fillId="0" borderId="0" xfId="0" applyNumberFormat="1" applyFont="1" applyAlignment="1" applyProtection="1">
      <alignment horizontal="left"/>
    </xf>
    <xf numFmtId="165" fontId="43"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8" fillId="0" borderId="0" xfId="0" applyNumberFormat="1" applyFont="1" applyAlignment="1" applyProtection="1">
      <alignment horizontal="centerContinuous"/>
    </xf>
    <xf numFmtId="165" fontId="45"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5"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5" fillId="0" borderId="0" xfId="0" quotePrefix="1" applyNumberFormat="1" applyFont="1" applyAlignment="1" applyProtection="1">
      <alignment horizontal="centerContinuous"/>
    </xf>
    <xf numFmtId="165" fontId="38" fillId="0" borderId="66" xfId="0" applyNumberFormat="1" applyFont="1" applyBorder="1" applyAlignment="1" applyProtection="1">
      <alignment horizontal="centerContinuous"/>
    </xf>
    <xf numFmtId="165" fontId="45"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5" fillId="0" borderId="0" xfId="0" applyNumberFormat="1" applyFont="1" applyAlignment="1" applyProtection="1">
      <alignment horizontal="center"/>
    </xf>
    <xf numFmtId="165" fontId="64" fillId="0" borderId="0" xfId="0" applyNumberFormat="1" applyFont="1" applyBorder="1" applyAlignment="1" applyProtection="1"/>
    <xf numFmtId="165" fontId="38" fillId="0" borderId="21" xfId="0" applyNumberFormat="1" applyFont="1" applyBorder="1" applyAlignment="1" applyProtection="1"/>
    <xf numFmtId="165" fontId="38" fillId="0" borderId="14" xfId="0" applyNumberFormat="1" applyFont="1" applyBorder="1" applyAlignment="1" applyProtection="1"/>
    <xf numFmtId="165" fontId="66" fillId="0" borderId="0" xfId="0" applyNumberFormat="1" applyFont="1" applyBorder="1" applyAlignment="1" applyProtection="1"/>
    <xf numFmtId="0" fontId="45" fillId="0" borderId="0" xfId="0" applyNumberFormat="1" applyFont="1" applyAlignment="1" applyProtection="1"/>
    <xf numFmtId="0" fontId="38" fillId="0" borderId="0" xfId="0" applyNumberFormat="1" applyFont="1" applyAlignment="1" applyProtection="1"/>
    <xf numFmtId="0" fontId="38" fillId="0" borderId="0" xfId="0" applyNumberFormat="1" applyFont="1" applyFill="1" applyAlignment="1" applyProtection="1"/>
    <xf numFmtId="166" fontId="38" fillId="0" borderId="0" xfId="0" applyNumberFormat="1" applyFont="1" applyFill="1" applyBorder="1" applyAlignment="1" applyProtection="1">
      <alignment horizontal="center"/>
    </xf>
    <xf numFmtId="174" fontId="38" fillId="0" borderId="0" xfId="0" applyNumberFormat="1" applyFont="1" applyFill="1" applyBorder="1" applyAlignment="1" applyProtection="1"/>
    <xf numFmtId="174" fontId="38" fillId="0" borderId="21" xfId="0" applyNumberFormat="1" applyFont="1" applyFill="1" applyBorder="1" applyAlignment="1" applyProtection="1"/>
    <xf numFmtId="174" fontId="38" fillId="0" borderId="18" xfId="0" applyNumberFormat="1" applyFont="1" applyFill="1" applyBorder="1" applyAlignment="1" applyProtection="1"/>
    <xf numFmtId="174" fontId="38" fillId="0" borderId="0" xfId="0" quotePrefix="1" applyNumberFormat="1" applyFont="1" applyFill="1" applyBorder="1" applyAlignment="1" applyProtection="1">
      <alignment horizontal="left"/>
    </xf>
    <xf numFmtId="174" fontId="38"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8" fillId="0" borderId="0" xfId="0" quotePrefix="1" applyNumberFormat="1" applyFont="1" applyFill="1" applyAlignment="1" applyProtection="1">
      <alignment horizontal="left"/>
    </xf>
    <xf numFmtId="0" fontId="38" fillId="0" borderId="0" xfId="0" quotePrefix="1" applyNumberFormat="1" applyFont="1" applyFill="1" applyAlignment="1" applyProtection="1">
      <alignment horizontal="center"/>
    </xf>
    <xf numFmtId="170" fontId="38" fillId="0" borderId="21" xfId="0" applyNumberFormat="1" applyFont="1" applyFill="1" applyBorder="1" applyAlignment="1" applyProtection="1"/>
    <xf numFmtId="170" fontId="38" fillId="0" borderId="0" xfId="0" quotePrefix="1" applyNumberFormat="1" applyFont="1" applyFill="1" applyBorder="1" applyAlignment="1" applyProtection="1">
      <alignment horizontal="left"/>
    </xf>
    <xf numFmtId="170" fontId="38" fillId="0" borderId="14" xfId="0" applyNumberFormat="1" applyFont="1" applyFill="1" applyBorder="1" applyAlignment="1" applyProtection="1"/>
    <xf numFmtId="166" fontId="38" fillId="0" borderId="0" xfId="0" quotePrefix="1" applyNumberFormat="1" applyFont="1" applyFill="1" applyBorder="1" applyAlignment="1" applyProtection="1">
      <alignment horizontal="center"/>
    </xf>
    <xf numFmtId="0" fontId="45" fillId="0" borderId="0" xfId="0" applyNumberFormat="1" applyFont="1" applyFill="1" applyAlignment="1" applyProtection="1"/>
    <xf numFmtId="170" fontId="45" fillId="0" borderId="0" xfId="0" quotePrefix="1" applyNumberFormat="1" applyFont="1" applyFill="1" applyBorder="1" applyAlignment="1" applyProtection="1"/>
    <xf numFmtId="170" fontId="45" fillId="0" borderId="21" xfId="0" applyNumberFormat="1" applyFont="1" applyFill="1" applyBorder="1" applyAlignment="1" applyProtection="1"/>
    <xf numFmtId="170" fontId="45" fillId="0" borderId="82" xfId="0" quotePrefix="1" applyNumberFormat="1" applyFont="1" applyFill="1" applyBorder="1" applyAlignment="1" applyProtection="1"/>
    <xf numFmtId="170" fontId="45" fillId="0" borderId="0" xfId="0" quotePrefix="1" applyNumberFormat="1" applyFont="1" applyFill="1" applyBorder="1" applyAlignment="1" applyProtection="1">
      <alignment horizontal="left"/>
    </xf>
    <xf numFmtId="166" fontId="45"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8" fillId="0" borderId="84" xfId="0" quotePrefix="1" applyNumberFormat="1" applyFont="1" applyFill="1" applyBorder="1" applyAlignment="1" applyProtection="1"/>
    <xf numFmtId="166" fontId="64" fillId="0" borderId="0" xfId="0" applyNumberFormat="1" applyFont="1" applyFill="1" applyAlignment="1" applyProtection="1"/>
    <xf numFmtId="0" fontId="45" fillId="0" borderId="0" xfId="0" quotePrefix="1" applyNumberFormat="1" applyFont="1" applyFill="1" applyAlignment="1" applyProtection="1">
      <alignment horizontal="left"/>
    </xf>
    <xf numFmtId="170" fontId="45" fillId="0" borderId="93" xfId="0" quotePrefix="1" applyNumberFormat="1" applyFont="1" applyFill="1" applyBorder="1" applyAlignment="1" applyProtection="1">
      <alignment horizontal="left"/>
    </xf>
    <xf numFmtId="164" fontId="66" fillId="0" borderId="0" xfId="0" applyNumberFormat="1" applyFont="1" applyAlignment="1" applyProtection="1"/>
    <xf numFmtId="166" fontId="64" fillId="0" borderId="0" xfId="0" applyNumberFormat="1" applyFont="1" applyAlignment="1" applyProtection="1"/>
    <xf numFmtId="0" fontId="45" fillId="0" borderId="0" xfId="0" quotePrefix="1" applyNumberFormat="1" applyFont="1" applyAlignment="1" applyProtection="1">
      <alignment horizontal="left"/>
    </xf>
    <xf numFmtId="0" fontId="38" fillId="0" borderId="0" xfId="0" quotePrefix="1" applyNumberFormat="1" applyFont="1" applyAlignment="1" applyProtection="1">
      <alignment horizontal="center"/>
    </xf>
    <xf numFmtId="165" fontId="38" fillId="0" borderId="0" xfId="0" quotePrefix="1" applyNumberFormat="1" applyFont="1" applyFill="1" applyAlignment="1" applyProtection="1">
      <alignment horizontal="center"/>
    </xf>
    <xf numFmtId="166" fontId="38" fillId="0" borderId="0" xfId="0" quotePrefix="1" applyNumberFormat="1" applyFont="1" applyFill="1" applyBorder="1" applyAlignment="1" applyProtection="1"/>
    <xf numFmtId="166" fontId="38" fillId="0" borderId="0" xfId="0" quotePrefix="1" applyNumberFormat="1" applyFont="1" applyBorder="1" applyAlignment="1" applyProtection="1">
      <alignment horizontal="center"/>
    </xf>
    <xf numFmtId="166" fontId="38" fillId="0" borderId="0" xfId="0" quotePrefix="1"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8" fillId="0" borderId="0" xfId="0" quotePrefix="1" applyNumberFormat="1" applyFont="1" applyBorder="1" applyAlignment="1" applyProtection="1">
      <alignment horizontal="right"/>
    </xf>
    <xf numFmtId="174" fontId="45" fillId="0" borderId="0" xfId="0" applyNumberFormat="1" applyFont="1" applyBorder="1" applyAlignment="1" applyProtection="1"/>
    <xf numFmtId="0" fontId="98" fillId="0" borderId="0" xfId="1767" applyFont="1" applyProtection="1"/>
    <xf numFmtId="0" fontId="98" fillId="0" borderId="0" xfId="1767" applyFont="1" applyBorder="1" applyProtection="1"/>
    <xf numFmtId="0" fontId="38" fillId="0" borderId="0" xfId="1767" applyFont="1" applyBorder="1" applyProtection="1"/>
    <xf numFmtId="0" fontId="15" fillId="0" borderId="0" xfId="841" applyFont="1" applyProtection="1"/>
    <xf numFmtId="4" fontId="44" fillId="0" borderId="0" xfId="1028" applyNumberFormat="1" applyFont="1" applyFill="1" applyBorder="1" applyAlignment="1" applyProtection="1"/>
    <xf numFmtId="4" fontId="115" fillId="0" borderId="0" xfId="1028" applyNumberFormat="1" applyFont="1" applyFill="1" applyBorder="1" applyAlignment="1" applyProtection="1">
      <alignment horizontal="right"/>
    </xf>
    <xf numFmtId="1" fontId="44" fillId="0" borderId="0" xfId="1028" applyNumberFormat="1" applyFont="1" applyAlignment="1" applyProtection="1"/>
    <xf numFmtId="0" fontId="44"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4" fillId="0" borderId="0" xfId="1028" applyNumberFormat="1" applyFont="1" applyFill="1" applyBorder="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4"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4" fillId="0" borderId="0" xfId="1028" applyNumberFormat="1" applyFont="1" applyBorder="1" applyAlignment="1" applyProtection="1"/>
    <xf numFmtId="4" fontId="44" fillId="0" borderId="0" xfId="1028" applyNumberFormat="1" applyFont="1" applyAlignment="1" applyProtection="1"/>
    <xf numFmtId="4" fontId="44"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3" fillId="0" borderId="0" xfId="1028" applyNumberFormat="1" applyFont="1" applyFill="1" applyAlignment="1" applyProtection="1">
      <alignment horizontal="right"/>
    </xf>
    <xf numFmtId="1" fontId="45" fillId="0" borderId="50" xfId="1028" applyNumberFormat="1" applyFont="1" applyBorder="1" applyAlignment="1" applyProtection="1"/>
    <xf numFmtId="4" fontId="45" fillId="0" borderId="50" xfId="1028" applyNumberFormat="1" applyFont="1" applyBorder="1" applyAlignment="1" applyProtection="1"/>
    <xf numFmtId="4" fontId="45" fillId="0" borderId="50" xfId="1028" applyNumberFormat="1" applyFont="1" applyBorder="1" applyAlignment="1" applyProtection="1">
      <alignment horizontal="center"/>
    </xf>
    <xf numFmtId="186" fontId="45" fillId="0" borderId="50" xfId="0" applyNumberFormat="1" applyFont="1" applyBorder="1" applyAlignment="1" applyProtection="1">
      <alignment horizontal="center"/>
    </xf>
    <xf numFmtId="39" fontId="45" fillId="0" borderId="50" xfId="0" applyNumberFormat="1" applyFont="1" applyBorder="1" applyAlignment="1" applyProtection="1">
      <alignment horizontal="center"/>
    </xf>
    <xf numFmtId="1" fontId="45"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5" fillId="0" borderId="0" xfId="1028" applyNumberFormat="1" applyFont="1" applyBorder="1" applyAlignment="1" applyProtection="1"/>
    <xf numFmtId="4" fontId="45" fillId="35" borderId="97" xfId="1028" applyNumberFormat="1" applyFont="1" applyFill="1" applyBorder="1" applyAlignment="1" applyProtection="1">
      <alignment horizontal="center"/>
    </xf>
    <xf numFmtId="4" fontId="45" fillId="0" borderId="0" xfId="1028" applyNumberFormat="1" applyFont="1" applyBorder="1" applyAlignment="1" applyProtection="1">
      <alignment horizontal="center"/>
    </xf>
    <xf numFmtId="39" fontId="45"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8" fillId="0" borderId="0" xfId="1028" quotePrefix="1" applyNumberFormat="1" applyFont="1" applyAlignment="1" applyProtection="1">
      <alignment horizontal="center"/>
    </xf>
    <xf numFmtId="4" fontId="38" fillId="0" borderId="0" xfId="1028" applyNumberFormat="1" applyFont="1" applyAlignment="1" applyProtection="1">
      <alignment horizontal="left"/>
    </xf>
    <xf numFmtId="0" fontId="102" fillId="0" borderId="0" xfId="0" applyNumberFormat="1" applyFont="1" applyBorder="1" applyProtection="1"/>
    <xf numFmtId="44" fontId="38" fillId="0" borderId="0" xfId="1767" applyNumberFormat="1" applyFont="1" applyFill="1" applyAlignment="1" applyProtection="1">
      <alignment horizontal="right"/>
    </xf>
    <xf numFmtId="1" fontId="38" fillId="0" borderId="0" xfId="1028" applyNumberFormat="1" applyFont="1" applyFill="1" applyBorder="1" applyAlignment="1" applyProtection="1">
      <alignment horizontal="center"/>
    </xf>
    <xf numFmtId="44" fontId="116" fillId="0" borderId="0" xfId="841" applyNumberFormat="1" applyFont="1" applyProtection="1"/>
    <xf numFmtId="1" fontId="38" fillId="0" borderId="0" xfId="1028" applyNumberFormat="1" applyFont="1" applyAlignment="1" applyProtection="1">
      <alignment horizontal="center"/>
    </xf>
    <xf numFmtId="4" fontId="45" fillId="35" borderId="97" xfId="1028" quotePrefix="1" applyNumberFormat="1" applyFont="1" applyFill="1" applyBorder="1" applyAlignment="1" applyProtection="1">
      <alignment horizontal="center"/>
    </xf>
    <xf numFmtId="4" fontId="45" fillId="0" borderId="0" xfId="1028" applyNumberFormat="1" applyFont="1" applyFill="1" applyBorder="1" applyAlignment="1" applyProtection="1"/>
    <xf numFmtId="4" fontId="45" fillId="0" borderId="0" xfId="1028" quotePrefix="1" applyNumberFormat="1" applyFont="1" applyFill="1" applyBorder="1" applyAlignment="1" applyProtection="1">
      <alignment horizontal="center"/>
    </xf>
    <xf numFmtId="4" fontId="45" fillId="0" borderId="0" xfId="1028" applyNumberFormat="1" applyFont="1" applyFill="1" applyBorder="1" applyAlignment="1" applyProtection="1">
      <alignment horizontal="center"/>
    </xf>
    <xf numFmtId="164" fontId="45" fillId="0" borderId="0" xfId="0" applyFont="1" applyAlignment="1" applyProtection="1">
      <alignment horizontal="right"/>
    </xf>
    <xf numFmtId="1" fontId="38" fillId="0" borderId="0" xfId="1028" applyNumberFormat="1" applyFont="1" applyFill="1" applyAlignment="1" applyProtection="1">
      <alignment horizontal="center"/>
    </xf>
    <xf numFmtId="4" fontId="38" fillId="0" borderId="0" xfId="1028" quotePrefix="1" applyNumberFormat="1" applyFont="1" applyAlignment="1" applyProtection="1">
      <alignment horizontal="left"/>
    </xf>
    <xf numFmtId="4" fontId="38" fillId="0" borderId="0" xfId="1028" applyNumberFormat="1" applyFont="1" applyBorder="1" applyAlignment="1" applyProtection="1"/>
    <xf numFmtId="4" fontId="38" fillId="0" borderId="0" xfId="1028" quotePrefix="1" applyNumberFormat="1" applyFont="1" applyBorder="1" applyAlignment="1" applyProtection="1">
      <alignment horizontal="left"/>
    </xf>
    <xf numFmtId="4" fontId="38" fillId="0" borderId="0" xfId="1028" applyNumberFormat="1" applyFont="1" applyBorder="1" applyAlignment="1" applyProtection="1">
      <alignment horizontal="center"/>
    </xf>
    <xf numFmtId="0" fontId="38" fillId="0" borderId="0" xfId="1028" quotePrefix="1" applyNumberFormat="1" applyFont="1" applyFill="1" applyAlignment="1" applyProtection="1">
      <alignment horizontal="center"/>
    </xf>
    <xf numFmtId="0" fontId="98" fillId="0" borderId="0" xfId="1767" applyFont="1" applyFill="1" applyProtection="1"/>
    <xf numFmtId="4" fontId="38" fillId="0" borderId="0" xfId="1028" applyNumberFormat="1" applyFont="1" applyFill="1" applyAlignment="1" applyProtection="1">
      <alignment horizontal="left"/>
    </xf>
    <xf numFmtId="4" fontId="38" fillId="0" borderId="0" xfId="1028" applyNumberFormat="1" applyFont="1" applyFill="1" applyBorder="1" applyAlignment="1" applyProtection="1">
      <alignment horizontal="center"/>
    </xf>
    <xf numFmtId="1" fontId="38" fillId="0" borderId="0" xfId="1028" applyNumberFormat="1" applyFont="1" applyBorder="1" applyAlignment="1" applyProtection="1">
      <alignment horizontal="center"/>
    </xf>
    <xf numFmtId="1" fontId="38" fillId="0" borderId="0" xfId="1028" quotePrefix="1" applyNumberFormat="1" applyFont="1" applyAlignment="1" applyProtection="1"/>
    <xf numFmtId="4" fontId="45"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8" fillId="0" borderId="0" xfId="17924" applyFont="1" applyBorder="1" applyAlignment="1" applyProtection="1">
      <alignment horizontal="right"/>
    </xf>
    <xf numFmtId="1" fontId="38" fillId="0" borderId="0" xfId="1028" applyNumberFormat="1" applyFont="1" applyFill="1" applyAlignment="1" applyProtection="1"/>
    <xf numFmtId="4" fontId="45" fillId="35" borderId="97" xfId="0" applyNumberFormat="1" applyFont="1" applyFill="1" applyBorder="1" applyAlignment="1" applyProtection="1">
      <alignment horizontal="center"/>
    </xf>
    <xf numFmtId="4" fontId="45"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8" fillId="0" borderId="0" xfId="0" applyNumberFormat="1" applyFont="1" applyProtection="1"/>
    <xf numFmtId="4" fontId="38" fillId="0" borderId="0" xfId="0" applyNumberFormat="1" applyFont="1" applyAlignment="1" applyProtection="1">
      <alignment horizontal="center"/>
    </xf>
    <xf numFmtId="4" fontId="38" fillId="0" borderId="0" xfId="1028" applyNumberFormat="1" applyFont="1" applyBorder="1" applyAlignment="1" applyProtection="1">
      <alignment horizontal="left"/>
    </xf>
    <xf numFmtId="4" fontId="38" fillId="0" borderId="0" xfId="1028" applyNumberFormat="1" applyFont="1" applyFill="1" applyBorder="1" applyAlignment="1" applyProtection="1"/>
    <xf numFmtId="4" fontId="38" fillId="0" borderId="0" xfId="1028" applyNumberFormat="1" applyFont="1" applyFill="1" applyBorder="1" applyAlignment="1" applyProtection="1">
      <alignment horizontal="left"/>
    </xf>
    <xf numFmtId="4" fontId="38" fillId="0" borderId="0" xfId="1028" quotePrefix="1" applyNumberFormat="1" applyFont="1" applyFill="1" applyBorder="1" applyAlignment="1" applyProtection="1">
      <alignment horizontal="left"/>
    </xf>
    <xf numFmtId="1" fontId="38" fillId="0" borderId="0" xfId="1028" quotePrefix="1" applyNumberFormat="1" applyFont="1" applyAlignment="1" applyProtection="1">
      <alignment horizontal="center"/>
    </xf>
    <xf numFmtId="0" fontId="98" fillId="0" borderId="0" xfId="1028" quotePrefix="1" applyNumberFormat="1" applyFont="1" applyAlignment="1" applyProtection="1"/>
    <xf numFmtId="4" fontId="38" fillId="0" borderId="0" xfId="1028" quotePrefix="1" applyNumberFormat="1" applyFont="1" applyBorder="1" applyAlignment="1" applyProtection="1">
      <alignment horizontal="right"/>
    </xf>
    <xf numFmtId="4" fontId="38" fillId="0" borderId="0" xfId="1028" applyNumberFormat="1" applyFont="1" applyFill="1" applyAlignment="1" applyProtection="1">
      <alignment horizontal="center"/>
    </xf>
    <xf numFmtId="1" fontId="38" fillId="0" borderId="0" xfId="0" applyNumberFormat="1" applyFont="1" applyAlignment="1" applyProtection="1">
      <alignment horizontal="center"/>
    </xf>
    <xf numFmtId="164" fontId="98" fillId="0" borderId="0" xfId="0" applyFont="1" applyProtection="1"/>
    <xf numFmtId="4" fontId="38" fillId="0" borderId="0" xfId="1028" quotePrefix="1" applyNumberFormat="1" applyFont="1" applyFill="1" applyAlignment="1" applyProtection="1">
      <alignment horizontal="center"/>
    </xf>
    <xf numFmtId="0" fontId="38" fillId="0" borderId="0" xfId="1028" quotePrefix="1" applyNumberFormat="1" applyFont="1" applyFill="1" applyBorder="1" applyAlignment="1" applyProtection="1">
      <alignment horizontal="center"/>
    </xf>
    <xf numFmtId="37" fontId="45" fillId="0" borderId="0" xfId="1028" quotePrefix="1" applyNumberFormat="1" applyFont="1" applyFill="1" applyBorder="1" applyAlignment="1" applyProtection="1">
      <alignment horizontal="center"/>
    </xf>
    <xf numFmtId="1" fontId="38" fillId="0" borderId="0" xfId="1028" applyNumberFormat="1" applyFont="1" applyFill="1" applyBorder="1" applyAlignment="1" applyProtection="1"/>
    <xf numFmtId="43" fontId="45" fillId="0" borderId="0" xfId="17924" applyFont="1" applyFill="1" applyAlignment="1" applyProtection="1">
      <alignment horizontal="right"/>
    </xf>
    <xf numFmtId="1" fontId="38" fillId="0" borderId="0" xfId="1028" quotePrefix="1" applyNumberFormat="1" applyFont="1" applyFill="1" applyAlignment="1" applyProtection="1">
      <alignment horizontal="center"/>
    </xf>
    <xf numFmtId="4" fontId="38" fillId="33" borderId="0" xfId="1028" applyNumberFormat="1" applyFont="1" applyFill="1" applyBorder="1" applyAlignment="1" applyProtection="1">
      <alignment horizontal="centerContinuous"/>
    </xf>
    <xf numFmtId="4" fontId="38" fillId="33" borderId="0" xfId="1028" applyNumberFormat="1" applyFont="1" applyFill="1" applyBorder="1" applyAlignment="1" applyProtection="1">
      <alignment horizontal="center"/>
    </xf>
    <xf numFmtId="43" fontId="0" fillId="0" borderId="0" xfId="0" applyNumberFormat="1" applyProtection="1"/>
    <xf numFmtId="1" fontId="38" fillId="0" borderId="0" xfId="1028" applyNumberFormat="1" applyFont="1" applyAlignment="1" applyProtection="1"/>
    <xf numFmtId="43" fontId="45" fillId="0" borderId="87" xfId="0" applyNumberFormat="1" applyFont="1" applyBorder="1" applyAlignment="1" applyProtection="1">
      <alignment horizontal="right"/>
    </xf>
    <xf numFmtId="4" fontId="38" fillId="0" borderId="0" xfId="1028" applyNumberFormat="1" applyFont="1" applyFill="1" applyBorder="1" applyAlignment="1" applyProtection="1">
      <alignment horizontal="right"/>
    </xf>
    <xf numFmtId="43" fontId="38" fillId="0" borderId="0" xfId="17924" applyFont="1" applyAlignment="1" applyProtection="1">
      <alignment horizontal="right"/>
    </xf>
    <xf numFmtId="4" fontId="38" fillId="0" borderId="0" xfId="1028" quotePrefix="1" applyNumberFormat="1" applyFont="1" applyFill="1" applyAlignment="1" applyProtection="1">
      <alignment horizontal="left"/>
    </xf>
    <xf numFmtId="1" fontId="45" fillId="0" borderId="0" xfId="1028" quotePrefix="1" applyNumberFormat="1" applyFont="1" applyAlignment="1" applyProtection="1"/>
    <xf numFmtId="0" fontId="98" fillId="0" borderId="0" xfId="1028" applyNumberFormat="1" applyFont="1" applyBorder="1" applyAlignment="1" applyProtection="1"/>
    <xf numFmtId="0" fontId="45" fillId="0" borderId="0" xfId="1028" applyNumberFormat="1" applyFont="1" applyBorder="1" applyAlignment="1" applyProtection="1">
      <alignment horizontal="center"/>
    </xf>
    <xf numFmtId="4" fontId="45" fillId="35" borderId="57" xfId="1028" applyNumberFormat="1" applyFont="1" applyFill="1" applyBorder="1" applyAlignment="1" applyProtection="1">
      <alignment horizontal="left"/>
    </xf>
    <xf numFmtId="0" fontId="102" fillId="0" borderId="0" xfId="0" applyNumberFormat="1" applyFont="1" applyAlignment="1" applyProtection="1"/>
    <xf numFmtId="164" fontId="38" fillId="0" borderId="0" xfId="1028" applyNumberFormat="1" applyFont="1" applyFill="1" applyBorder="1" applyAlignment="1" applyProtection="1"/>
    <xf numFmtId="4" fontId="45" fillId="0" borderId="0" xfId="1028" applyNumberFormat="1" applyFont="1" applyFill="1" applyBorder="1" applyAlignment="1" applyProtection="1">
      <alignment horizontal="left"/>
    </xf>
    <xf numFmtId="4" fontId="45" fillId="0" borderId="0" xfId="0" applyNumberFormat="1" applyFont="1" applyFill="1" applyAlignment="1" applyProtection="1">
      <alignment horizontal="left"/>
    </xf>
    <xf numFmtId="164" fontId="38" fillId="0" borderId="0" xfId="0" applyFont="1" applyFill="1" applyBorder="1" applyProtection="1"/>
    <xf numFmtId="164" fontId="38" fillId="0" borderId="0" xfId="0" applyFont="1" applyBorder="1" applyProtection="1"/>
    <xf numFmtId="0" fontId="116" fillId="0" borderId="0" xfId="1028" quotePrefix="1" applyNumberFormat="1" applyFont="1" applyAlignment="1" applyProtection="1"/>
    <xf numFmtId="164" fontId="38" fillId="0" borderId="0" xfId="1028" quotePrefix="1" applyNumberFormat="1" applyFont="1" applyBorder="1" applyAlignment="1" applyProtection="1"/>
    <xf numFmtId="4" fontId="45" fillId="0" borderId="0" xfId="0" applyNumberFormat="1" applyFont="1" applyAlignment="1" applyProtection="1">
      <alignment horizontal="left"/>
    </xf>
    <xf numFmtId="164" fontId="38" fillId="0" borderId="0" xfId="1028" applyNumberFormat="1" applyFont="1" applyBorder="1" applyAlignment="1" applyProtection="1"/>
    <xf numFmtId="164" fontId="98" fillId="0" borderId="0" xfId="0" applyFont="1" applyBorder="1" applyProtection="1"/>
    <xf numFmtId="7" fontId="45" fillId="0" borderId="0" xfId="1767" applyNumberFormat="1" applyFont="1" applyFill="1" applyAlignment="1" applyProtection="1">
      <alignment horizontal="right"/>
    </xf>
    <xf numFmtId="7" fontId="45" fillId="0" borderId="0" xfId="0" applyNumberFormat="1" applyFont="1" applyAlignment="1" applyProtection="1">
      <alignment horizontal="right"/>
    </xf>
    <xf numFmtId="4" fontId="45" fillId="0" borderId="0" xfId="1028" quotePrefix="1" applyNumberFormat="1" applyFont="1" applyAlignment="1" applyProtection="1">
      <alignment horizontal="left"/>
    </xf>
    <xf numFmtId="164" fontId="38" fillId="0" borderId="0" xfId="1028" quotePrefix="1" applyNumberFormat="1" applyFont="1" applyAlignment="1" applyProtection="1"/>
    <xf numFmtId="37" fontId="45" fillId="0" borderId="0" xfId="1028" applyNumberFormat="1" applyFont="1" applyAlignment="1" applyProtection="1">
      <alignment horizontal="right"/>
    </xf>
    <xf numFmtId="4" fontId="45" fillId="0" borderId="0" xfId="0" applyNumberFormat="1" applyFont="1" applyAlignment="1" applyProtection="1">
      <alignment horizontal="left" vertical="top"/>
    </xf>
    <xf numFmtId="37" fontId="45" fillId="0" borderId="0" xfId="0" applyNumberFormat="1" applyFont="1" applyBorder="1" applyAlignment="1" applyProtection="1">
      <alignment horizontal="right" vertical="top"/>
    </xf>
    <xf numFmtId="4" fontId="45"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5" fillId="0" borderId="0" xfId="841" applyNumberFormat="1" applyFont="1" applyAlignment="1" applyProtection="1">
      <alignment horizontal="right"/>
    </xf>
    <xf numFmtId="164" fontId="38" fillId="0" borderId="0" xfId="0" applyNumberFormat="1" applyFont="1" applyAlignment="1" applyProtection="1"/>
    <xf numFmtId="37" fontId="45" fillId="0" borderId="0" xfId="0" applyNumberFormat="1" applyFont="1" applyAlignment="1" applyProtection="1">
      <alignment horizontal="right"/>
    </xf>
    <xf numFmtId="4" fontId="45" fillId="0" borderId="0" xfId="1028" applyNumberFormat="1" applyFont="1" applyAlignment="1" applyProtection="1">
      <alignment horizontal="left"/>
    </xf>
    <xf numFmtId="4" fontId="45" fillId="0" borderId="0" xfId="1028" quotePrefix="1" applyNumberFormat="1" applyFont="1" applyBorder="1" applyAlignment="1" applyProtection="1">
      <alignment horizontal="left"/>
    </xf>
    <xf numFmtId="43" fontId="98" fillId="0" borderId="0" xfId="0" applyNumberFormat="1" applyFont="1" applyProtection="1"/>
    <xf numFmtId="7" fontId="45" fillId="0" borderId="0" xfId="1028" applyNumberFormat="1" applyFont="1" applyBorder="1" applyAlignment="1" applyProtection="1">
      <alignment horizontal="right"/>
    </xf>
    <xf numFmtId="37" fontId="45" fillId="0" borderId="0" xfId="1028" applyNumberFormat="1" applyFont="1" applyFill="1" applyBorder="1" applyAlignment="1" applyProtection="1">
      <alignment horizontal="right"/>
    </xf>
    <xf numFmtId="4" fontId="45" fillId="0" borderId="0" xfId="0" applyNumberFormat="1" applyFont="1" applyBorder="1" applyAlignment="1" applyProtection="1">
      <alignment horizontal="left"/>
    </xf>
    <xf numFmtId="37" fontId="45" fillId="0" borderId="0" xfId="1028" quotePrefix="1" applyNumberFormat="1" applyFont="1" applyFill="1" applyBorder="1" applyAlignment="1" applyProtection="1">
      <alignment horizontal="right"/>
    </xf>
    <xf numFmtId="39" fontId="38" fillId="0" borderId="0" xfId="1028" applyNumberFormat="1" applyFont="1" applyFill="1" applyAlignment="1" applyProtection="1"/>
    <xf numFmtId="39" fontId="38" fillId="0" borderId="0" xfId="1028" applyNumberFormat="1" applyFont="1" applyFill="1" applyBorder="1" applyAlignment="1" applyProtection="1"/>
    <xf numFmtId="0" fontId="15" fillId="0" borderId="0" xfId="841" applyFont="1" applyBorder="1" applyProtection="1"/>
    <xf numFmtId="0" fontId="136" fillId="0" borderId="0" xfId="841" applyFont="1" applyBorder="1" applyProtection="1"/>
    <xf numFmtId="0" fontId="2" fillId="0" borderId="0" xfId="841" applyFont="1" applyProtection="1"/>
    <xf numFmtId="4" fontId="43" fillId="0" borderId="0" xfId="1767" applyNumberFormat="1" applyFont="1" applyFill="1" applyBorder="1" applyAlignment="1" applyProtection="1">
      <alignment horizontal="right"/>
    </xf>
    <xf numFmtId="4" fontId="43" fillId="0" borderId="0" xfId="1767" applyNumberFormat="1" applyFont="1" applyFill="1" applyAlignment="1" applyProtection="1">
      <alignment horizontal="right"/>
    </xf>
    <xf numFmtId="42" fontId="38" fillId="0" borderId="0" xfId="739" applyNumberFormat="1" applyFont="1" applyBorder="1" applyAlignment="1" applyProtection="1"/>
    <xf numFmtId="41" fontId="45" fillId="0" borderId="107" xfId="739" applyNumberFormat="1" applyFont="1" applyBorder="1" applyAlignment="1" applyProtection="1"/>
    <xf numFmtId="42" fontId="45" fillId="0" borderId="17" xfId="840" applyNumberFormat="1" applyFont="1" applyFill="1" applyBorder="1" applyAlignment="1"/>
    <xf numFmtId="165" fontId="38"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3" fillId="0" borderId="0" xfId="740" applyNumberFormat="1" applyFont="1" applyFill="1" applyBorder="1" applyAlignment="1"/>
    <xf numFmtId="177" fontId="45"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8" fillId="0" borderId="0" xfId="740" applyNumberFormat="1" applyFont="1" applyFill="1" applyAlignment="1">
      <alignment horizontal="fill"/>
    </xf>
    <xf numFmtId="179" fontId="45" fillId="0" borderId="10" xfId="740" quotePrefix="1" applyNumberFormat="1" applyFont="1" applyFill="1" applyBorder="1" applyAlignment="1">
      <alignment horizontal="center"/>
    </xf>
    <xf numFmtId="179" fontId="45" fillId="0" borderId="0" xfId="740" quotePrefix="1" applyNumberFormat="1" applyFont="1" applyFill="1" applyBorder="1" applyAlignment="1">
      <alignment horizontal="center"/>
    </xf>
    <xf numFmtId="177" fontId="45" fillId="0" borderId="0" xfId="740" applyNumberFormat="1" applyFont="1" applyFill="1" applyBorder="1" applyAlignment="1">
      <alignment horizontal="right"/>
    </xf>
    <xf numFmtId="173" fontId="38"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5" fillId="0" borderId="0" xfId="740" applyNumberFormat="1" applyFont="1" applyFill="1" applyAlignment="1">
      <alignment horizontal="left"/>
    </xf>
    <xf numFmtId="43" fontId="38" fillId="0" borderId="0" xfId="741" applyFont="1" applyFill="1" applyAlignment="1"/>
    <xf numFmtId="177" fontId="45" fillId="0" borderId="0" xfId="740" applyNumberFormat="1" applyFont="1" applyFill="1"/>
    <xf numFmtId="181" fontId="38" fillId="0" borderId="0" xfId="740" applyNumberFormat="1" applyFont="1" applyFill="1" applyAlignment="1">
      <alignment horizontal="right"/>
    </xf>
    <xf numFmtId="177" fontId="71" fillId="0" borderId="0" xfId="740" applyNumberFormat="1" applyFont="1" applyFill="1" applyAlignment="1">
      <alignment horizontal="left"/>
    </xf>
    <xf numFmtId="41" fontId="0" fillId="0" borderId="0" xfId="0" applyNumberFormat="1"/>
    <xf numFmtId="41" fontId="44"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7" fillId="0" borderId="0" xfId="0" applyNumberFormat="1" applyFont="1" applyFill="1" applyAlignment="1">
      <alignment horizontal="center" vertical="top"/>
    </xf>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2" fillId="0" borderId="0" xfId="836" applyNumberFormat="1" applyFont="1" applyFill="1" applyAlignment="1">
      <alignment horizontal="right"/>
    </xf>
    <xf numFmtId="194" fontId="169" fillId="0" borderId="66" xfId="2" applyNumberFormat="1" applyFont="1" applyFill="1" applyBorder="1" applyAlignment="1"/>
    <xf numFmtId="170" fontId="38" fillId="0" borderId="66" xfId="2" quotePrefix="1" applyNumberFormat="1" applyFont="1" applyFill="1" applyBorder="1" applyAlignment="1">
      <alignment horizontal="center"/>
    </xf>
    <xf numFmtId="170" fontId="38" fillId="0" borderId="31" xfId="2" applyNumberFormat="1" applyFont="1" applyFill="1" applyBorder="1" applyAlignment="1"/>
    <xf numFmtId="170" fontId="38" fillId="0" borderId="15" xfId="2" quotePrefix="1" applyNumberFormat="1" applyFont="1" applyFill="1" applyBorder="1" applyAlignment="1"/>
    <xf numFmtId="194" fontId="38" fillId="0" borderId="10" xfId="0" applyNumberFormat="1" applyFont="1" applyFill="1" applyBorder="1" applyProtection="1"/>
    <xf numFmtId="0" fontId="40"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40" fillId="0" borderId="20" xfId="2" applyNumberFormat="1" applyFont="1" applyFill="1" applyBorder="1" applyAlignment="1" applyProtection="1"/>
    <xf numFmtId="168" fontId="40" fillId="0" borderId="36" xfId="2" applyNumberFormat="1" applyFont="1" applyFill="1" applyBorder="1" applyAlignment="1" applyProtection="1"/>
    <xf numFmtId="168" fontId="40" fillId="0" borderId="0" xfId="2" applyNumberFormat="1" applyFont="1" applyFill="1" applyBorder="1" applyAlignment="1" applyProtection="1"/>
    <xf numFmtId="165" fontId="38" fillId="0" borderId="0" xfId="836" applyNumberFormat="1" applyFont="1" applyFill="1" applyAlignment="1" applyProtection="1">
      <protection locked="0"/>
    </xf>
    <xf numFmtId="0" fontId="53" fillId="0" borderId="0" xfId="836" applyNumberFormat="1" applyFont="1" applyFill="1" applyAlignment="1"/>
    <xf numFmtId="185" fontId="62" fillId="0" borderId="0" xfId="836" applyNumberFormat="1" applyFont="1" applyFill="1" applyBorder="1" applyAlignment="1">
      <alignment horizontal="right"/>
    </xf>
    <xf numFmtId="0" fontId="40"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3" fillId="0" borderId="0" xfId="0" applyNumberFormat="1" applyFont="1" applyAlignment="1" applyProtection="1">
      <protection locked="0"/>
    </xf>
    <xf numFmtId="165" fontId="167" fillId="0" borderId="0" xfId="0" applyNumberFormat="1" applyFont="1" applyProtection="1">
      <protection locked="0"/>
    </xf>
    <xf numFmtId="170" fontId="45" fillId="0" borderId="0" xfId="2" applyNumberFormat="1" applyFont="1"/>
    <xf numFmtId="164" fontId="40" fillId="0" borderId="0" xfId="0" applyFont="1" applyFill="1" applyProtection="1"/>
    <xf numFmtId="174" fontId="45" fillId="0" borderId="15" xfId="0" applyNumberFormat="1" applyFont="1" applyFill="1" applyBorder="1" applyAlignment="1" applyProtection="1"/>
    <xf numFmtId="165" fontId="48" fillId="0" borderId="0" xfId="0" applyNumberFormat="1" applyFont="1" applyFill="1" applyAlignment="1" applyProtection="1"/>
    <xf numFmtId="164" fontId="45" fillId="0" borderId="17" xfId="0" applyNumberFormat="1" applyFont="1" applyFill="1" applyBorder="1" applyAlignment="1" applyProtection="1"/>
    <xf numFmtId="165" fontId="45" fillId="0" borderId="0" xfId="0" applyNumberFormat="1" applyFont="1" applyFill="1" applyAlignment="1" applyProtection="1"/>
    <xf numFmtId="168" fontId="48" fillId="0" borderId="0" xfId="0" applyNumberFormat="1" applyFont="1" applyFill="1" applyAlignment="1" applyProtection="1"/>
    <xf numFmtId="166" fontId="48" fillId="0" borderId="0" xfId="0" applyNumberFormat="1" applyFont="1" applyFill="1" applyBorder="1" applyAlignment="1" applyProtection="1"/>
    <xf numFmtId="165" fontId="51" fillId="0" borderId="0" xfId="0" applyNumberFormat="1" applyFont="1" applyFill="1" applyBorder="1" applyAlignment="1" applyProtection="1"/>
    <xf numFmtId="165" fontId="40" fillId="0" borderId="0" xfId="0" applyNumberFormat="1" applyFont="1" applyFill="1" applyBorder="1" applyAlignment="1" applyProtection="1"/>
    <xf numFmtId="165" fontId="40" fillId="0" borderId="0" xfId="0" applyNumberFormat="1" applyFont="1" applyFill="1" applyAlignment="1" applyProtection="1"/>
    <xf numFmtId="170" fontId="40" fillId="0" borderId="15" xfId="0" applyNumberFormat="1" applyFont="1" applyFill="1" applyBorder="1" applyAlignment="1" applyProtection="1"/>
    <xf numFmtId="170" fontId="45" fillId="0" borderId="15" xfId="0" applyNumberFormat="1" applyFont="1" applyFill="1" applyBorder="1" applyAlignment="1" applyProtection="1"/>
    <xf numFmtId="164" fontId="45" fillId="0" borderId="10" xfId="0" applyNumberFormat="1" applyFont="1" applyFill="1" applyBorder="1" applyAlignment="1" applyProtection="1"/>
    <xf numFmtId="165" fontId="43"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5"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8" fillId="0" borderId="0" xfId="0" applyNumberFormat="1" applyFont="1" applyFill="1" applyAlignment="1" applyProtection="1">
      <alignment horizontal="left"/>
    </xf>
    <xf numFmtId="1" fontId="38" fillId="0" borderId="0" xfId="0" applyNumberFormat="1" applyFont="1" applyFill="1" applyAlignment="1" applyProtection="1">
      <alignment horizontal="center"/>
    </xf>
    <xf numFmtId="164" fontId="98" fillId="0" borderId="0" xfId="0" applyFont="1" applyFill="1" applyProtection="1"/>
    <xf numFmtId="174" fontId="38" fillId="0" borderId="0" xfId="17" applyNumberFormat="1" applyFont="1" applyFill="1" applyAlignment="1"/>
    <xf numFmtId="189" fontId="0" fillId="0" borderId="0" xfId="17" applyNumberFormat="1" applyFont="1" applyFill="1"/>
    <xf numFmtId="180" fontId="38"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66" fontId="60" fillId="0" borderId="0" xfId="2" applyNumberFormat="1" applyFont="1" applyFill="1" applyAlignment="1" applyProtection="1"/>
    <xf numFmtId="164" fontId="190" fillId="0" borderId="0" xfId="0" applyFont="1" applyFill="1"/>
    <xf numFmtId="0" fontId="38" fillId="0" borderId="0" xfId="1028" quotePrefix="1" applyNumberFormat="1" applyFont="1" applyBorder="1" applyAlignment="1" applyProtection="1">
      <alignment horizontal="left"/>
    </xf>
    <xf numFmtId="194" fontId="38" fillId="0" borderId="0" xfId="2" quotePrefix="1" applyNumberFormat="1" applyFont="1" applyFill="1" applyAlignment="1">
      <alignment horizontal="center"/>
    </xf>
    <xf numFmtId="0" fontId="0" fillId="0" borderId="0" xfId="2" applyFont="1" applyFill="1" applyBorder="1" applyAlignment="1"/>
    <xf numFmtId="37" fontId="40" fillId="0" borderId="0" xfId="0" quotePrefix="1" applyNumberFormat="1" applyFont="1" applyFill="1" applyAlignment="1" applyProtection="1">
      <alignment horizontal="left"/>
    </xf>
    <xf numFmtId="165" fontId="40" fillId="0" borderId="0" xfId="2" applyNumberFormat="1" applyFont="1" applyFill="1" applyProtection="1"/>
    <xf numFmtId="0" fontId="67" fillId="0" borderId="0" xfId="2" applyNumberFormat="1" applyFont="1" applyFill="1" applyAlignment="1" applyProtection="1"/>
    <xf numFmtId="0" fontId="40" fillId="0" borderId="0" xfId="2" applyFont="1" applyFill="1" applyBorder="1" applyAlignment="1" applyProtection="1"/>
    <xf numFmtId="0" fontId="67" fillId="0" borderId="0" xfId="2" applyNumberFormat="1" applyFont="1" applyFill="1" applyAlignment="1" applyProtection="1">
      <alignment horizontal="right"/>
    </xf>
    <xf numFmtId="165" fontId="38" fillId="0" borderId="0" xfId="2" applyNumberFormat="1" applyFont="1" applyFill="1" applyAlignment="1" applyProtection="1"/>
    <xf numFmtId="165" fontId="39"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8"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3"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right"/>
    </xf>
    <xf numFmtId="165" fontId="45" fillId="0" borderId="0" xfId="0" applyNumberFormat="1" applyFont="1" applyFill="1" applyBorder="1" applyAlignment="1" applyProtection="1">
      <alignment horizontal="centerContinuous"/>
    </xf>
    <xf numFmtId="0" fontId="45" fillId="0" borderId="0" xfId="0" quotePrefix="1" applyNumberFormat="1" applyFont="1" applyFill="1" applyBorder="1" applyAlignment="1" applyProtection="1">
      <alignment horizontal="center"/>
    </xf>
    <xf numFmtId="165" fontId="38"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5"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4" fillId="0" borderId="0" xfId="2" applyNumberFormat="1" applyFont="1" applyFill="1" applyAlignment="1" applyProtection="1">
      <alignment horizontal="right"/>
    </xf>
    <xf numFmtId="1" fontId="45" fillId="0" borderId="10" xfId="2" quotePrefix="1" applyNumberFormat="1" applyFont="1" applyFill="1" applyBorder="1" applyAlignment="1" applyProtection="1">
      <alignment horizontal="center"/>
    </xf>
    <xf numFmtId="169" fontId="45" fillId="0" borderId="21" xfId="2" applyNumberFormat="1" applyFont="1" applyFill="1" applyBorder="1" applyAlignment="1" applyProtection="1"/>
    <xf numFmtId="0" fontId="40" fillId="0" borderId="21" xfId="2" applyNumberFormat="1" applyFont="1" applyFill="1" applyBorder="1" applyAlignment="1" applyProtection="1"/>
    <xf numFmtId="170" fontId="45" fillId="0" borderId="107" xfId="2" applyNumberFormat="1" applyFont="1" applyFill="1" applyBorder="1" applyAlignment="1" applyProtection="1"/>
    <xf numFmtId="0" fontId="38" fillId="0" borderId="21" xfId="2" applyNumberFormat="1" applyFont="1" applyFill="1" applyBorder="1" applyAlignment="1" applyProtection="1"/>
    <xf numFmtId="170" fontId="45" fillId="0" borderId="10" xfId="1046" applyNumberFormat="1" applyFont="1" applyFill="1" applyBorder="1" applyProtection="1"/>
    <xf numFmtId="170" fontId="66" fillId="0" borderId="0" xfId="2" applyNumberFormat="1" applyFont="1" applyFill="1" applyBorder="1" applyProtection="1"/>
    <xf numFmtId="170" fontId="45" fillId="0" borderId="18" xfId="2" applyNumberFormat="1" applyFont="1" applyFill="1" applyBorder="1" applyAlignment="1" applyProtection="1"/>
    <xf numFmtId="170" fontId="38" fillId="0" borderId="102" xfId="2" applyNumberFormat="1" applyFont="1" applyFill="1" applyBorder="1" applyAlignment="1" applyProtection="1"/>
    <xf numFmtId="170" fontId="38" fillId="0" borderId="0" xfId="2" quotePrefix="1" applyNumberFormat="1" applyFont="1" applyFill="1" applyBorder="1" applyAlignment="1" applyProtection="1">
      <alignment horizontal="right"/>
    </xf>
    <xf numFmtId="0" fontId="43" fillId="0" borderId="0" xfId="2" applyNumberFormat="1" applyFont="1" applyFill="1" applyAlignment="1"/>
    <xf numFmtId="165" fontId="45" fillId="0" borderId="0" xfId="2" applyNumberFormat="1" applyFont="1" applyFill="1" applyBorder="1" applyAlignment="1"/>
    <xf numFmtId="0" fontId="45" fillId="0" borderId="66" xfId="2" quotePrefix="1" applyNumberFormat="1" applyFont="1" applyFill="1" applyBorder="1" applyAlignment="1">
      <alignment horizontal="center"/>
    </xf>
    <xf numFmtId="0" fontId="45" fillId="0" borderId="0" xfId="2" quotePrefix="1" applyNumberFormat="1" applyFont="1" applyFill="1" applyBorder="1" applyAlignment="1">
      <alignment horizontal="center"/>
    </xf>
    <xf numFmtId="174" fontId="45"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5" fillId="0" borderId="96" xfId="2" applyNumberFormat="1" applyFont="1" applyFill="1" applyBorder="1" applyAlignment="1"/>
    <xf numFmtId="0" fontId="45" fillId="0" borderId="28" xfId="2" applyNumberFormat="1" applyFont="1" applyFill="1" applyBorder="1" applyAlignment="1">
      <alignment horizontal="center"/>
    </xf>
    <xf numFmtId="165" fontId="40" fillId="0" borderId="28" xfId="2" applyNumberFormat="1" applyFont="1" applyFill="1" applyBorder="1" applyAlignment="1"/>
    <xf numFmtId="165" fontId="40" fillId="0" borderId="18" xfId="2" applyNumberFormat="1" applyFont="1" applyFill="1" applyBorder="1" applyAlignment="1"/>
    <xf numFmtId="174" fontId="38" fillId="0" borderId="28" xfId="2" applyNumberFormat="1" applyFont="1" applyFill="1" applyBorder="1" applyAlignment="1" applyProtection="1">
      <alignment horizontal="right"/>
    </xf>
    <xf numFmtId="174" fontId="38" fillId="0" borderId="18" xfId="2" applyNumberFormat="1" applyFont="1" applyFill="1" applyBorder="1" applyAlignment="1" applyProtection="1">
      <alignment horizontal="right"/>
    </xf>
    <xf numFmtId="170" fontId="40" fillId="0" borderId="28" xfId="2" applyNumberFormat="1" applyFont="1" applyFill="1" applyBorder="1" applyAlignment="1" applyProtection="1"/>
    <xf numFmtId="170" fontId="38" fillId="0" borderId="28" xfId="2" applyNumberFormat="1" applyFont="1" applyFill="1" applyBorder="1" applyAlignment="1" applyProtection="1">
      <alignment horizontal="right"/>
    </xf>
    <xf numFmtId="170" fontId="45" fillId="0" borderId="28" xfId="2" applyNumberFormat="1" applyFont="1" applyFill="1" applyBorder="1" applyAlignment="1" applyProtection="1"/>
    <xf numFmtId="170" fontId="38" fillId="0" borderId="18" xfId="2" applyNumberFormat="1" applyFont="1" applyFill="1" applyBorder="1" applyAlignment="1" applyProtection="1">
      <alignment horizontal="right"/>
    </xf>
    <xf numFmtId="170" fontId="45" fillId="0" borderId="18" xfId="2" applyNumberFormat="1" applyFont="1" applyFill="1" applyBorder="1" applyAlignment="1"/>
    <xf numFmtId="166" fontId="40" fillId="0" borderId="28" xfId="2" applyNumberFormat="1" applyFont="1" applyFill="1" applyBorder="1" applyAlignment="1"/>
    <xf numFmtId="165" fontId="40" fillId="0" borderId="20" xfId="2" applyNumberFormat="1" applyFont="1" applyFill="1" applyBorder="1" applyAlignment="1"/>
    <xf numFmtId="166" fontId="40" fillId="0" borderId="0" xfId="2" applyNumberFormat="1" applyFont="1" applyFill="1" applyAlignment="1">
      <alignment horizontal="center"/>
    </xf>
    <xf numFmtId="170" fontId="40" fillId="0" borderId="71" xfId="2" applyNumberFormat="1" applyFont="1" applyFill="1" applyBorder="1" applyAlignment="1" applyProtection="1"/>
    <xf numFmtId="170" fontId="40" fillId="0" borderId="12" xfId="2" applyNumberFormat="1" applyFont="1" applyFill="1" applyBorder="1" applyAlignment="1" applyProtection="1"/>
    <xf numFmtId="166" fontId="40" fillId="0" borderId="18" xfId="2" applyNumberFormat="1" applyFont="1" applyFill="1" applyBorder="1" applyAlignment="1"/>
    <xf numFmtId="166" fontId="40"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40" fillId="0" borderId="13" xfId="2" applyNumberFormat="1" applyFont="1" applyFill="1" applyBorder="1" applyAlignment="1" applyProtection="1"/>
    <xf numFmtId="166" fontId="40" fillId="0" borderId="75" xfId="2" applyNumberFormat="1" applyFont="1" applyFill="1" applyBorder="1" applyAlignment="1" applyProtection="1"/>
    <xf numFmtId="170" fontId="0" fillId="0" borderId="0" xfId="2" applyNumberFormat="1" applyFont="1" applyFill="1" applyProtection="1"/>
    <xf numFmtId="170" fontId="40" fillId="0" borderId="13" xfId="2" applyNumberFormat="1" applyFont="1" applyFill="1" applyBorder="1" applyAlignment="1" applyProtection="1"/>
    <xf numFmtId="170" fontId="38" fillId="0" borderId="13" xfId="1" applyNumberFormat="1" applyFont="1" applyFill="1" applyBorder="1" applyAlignment="1" applyProtection="1"/>
    <xf numFmtId="170" fontId="38" fillId="0" borderId="0" xfId="1" applyNumberFormat="1" applyFont="1" applyFill="1" applyBorder="1" applyAlignment="1" applyProtection="1"/>
    <xf numFmtId="170" fontId="40" fillId="0" borderId="75" xfId="2" applyNumberFormat="1" applyFont="1" applyFill="1" applyBorder="1" applyAlignment="1" applyProtection="1"/>
    <xf numFmtId="170" fontId="40" fillId="0" borderId="13" xfId="2" applyNumberFormat="1" applyFont="1" applyFill="1" applyBorder="1" applyAlignment="1" applyProtection="1">
      <alignment horizontal="center"/>
    </xf>
    <xf numFmtId="170" fontId="40" fillId="0" borderId="0" xfId="2" applyNumberFormat="1" applyFont="1" applyFill="1" applyBorder="1" applyAlignment="1" applyProtection="1">
      <alignment horizontal="center"/>
    </xf>
    <xf numFmtId="170" fontId="40" fillId="0" borderId="75" xfId="2" applyNumberFormat="1" applyFont="1" applyFill="1" applyBorder="1" applyAlignment="1" applyProtection="1">
      <alignment horizontal="center"/>
    </xf>
    <xf numFmtId="170" fontId="45" fillId="0" borderId="75" xfId="2" applyNumberFormat="1" applyFont="1" applyFill="1" applyBorder="1" applyAlignment="1" applyProtection="1">
      <alignment horizontal="center"/>
    </xf>
    <xf numFmtId="170" fontId="45" fillId="0" borderId="0" xfId="2" applyNumberFormat="1" applyFont="1" applyFill="1" applyBorder="1" applyAlignment="1" applyProtection="1">
      <alignment horizontal="center"/>
    </xf>
    <xf numFmtId="170" fontId="40" fillId="0" borderId="83" xfId="2" applyNumberFormat="1" applyFont="1" applyFill="1" applyBorder="1" applyAlignment="1" applyProtection="1"/>
    <xf numFmtId="170" fontId="38" fillId="0" borderId="83" xfId="2" applyNumberFormat="1" applyFont="1" applyFill="1" applyBorder="1" applyAlignment="1" applyProtection="1"/>
    <xf numFmtId="170" fontId="40" fillId="0" borderId="93" xfId="2" applyNumberFormat="1" applyFont="1" applyFill="1" applyBorder="1" applyAlignment="1" applyProtection="1"/>
    <xf numFmtId="170" fontId="45" fillId="0" borderId="13" xfId="2" applyNumberFormat="1" applyFont="1" applyFill="1" applyBorder="1" applyAlignment="1" applyProtection="1"/>
    <xf numFmtId="170" fontId="45" fillId="0" borderId="75" xfId="2" applyNumberFormat="1" applyFont="1" applyFill="1" applyBorder="1" applyAlignment="1" applyProtection="1"/>
    <xf numFmtId="170" fontId="38" fillId="0" borderId="66" xfId="2" applyNumberFormat="1" applyFont="1" applyFill="1" applyBorder="1" applyAlignment="1" applyProtection="1"/>
    <xf numFmtId="170" fontId="45" fillId="0" borderId="13" xfId="6" applyNumberFormat="1" applyFont="1" applyFill="1" applyBorder="1" applyAlignment="1" applyProtection="1"/>
    <xf numFmtId="165" fontId="91" fillId="0" borderId="0" xfId="2" applyNumberFormat="1" applyFont="1" applyFill="1" applyAlignment="1">
      <alignment horizontal="centerContinuous"/>
    </xf>
    <xf numFmtId="194" fontId="40" fillId="0" borderId="0" xfId="2" applyNumberFormat="1" applyFont="1" applyFill="1" applyAlignment="1">
      <alignment horizontal="right"/>
    </xf>
    <xf numFmtId="170" fontId="38" fillId="0" borderId="75" xfId="2" applyNumberFormat="1" applyFont="1" applyFill="1" applyBorder="1" applyAlignment="1"/>
    <xf numFmtId="170" fontId="38"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69" fillId="0" borderId="0" xfId="2" applyNumberFormat="1" applyFont="1" applyFill="1" applyAlignment="1"/>
    <xf numFmtId="0" fontId="53"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7" fillId="0" borderId="0" xfId="2" quotePrefix="1" applyNumberFormat="1" applyFont="1" applyFill="1" applyBorder="1" applyAlignment="1">
      <alignment horizontal="left"/>
    </xf>
    <xf numFmtId="0" fontId="168" fillId="0" borderId="0" xfId="2" applyNumberFormat="1" applyFont="1" applyFill="1" applyBorder="1" applyAlignment="1"/>
    <xf numFmtId="174" fontId="67"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2"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80" fillId="0" borderId="0" xfId="2" applyNumberFormat="1" applyFont="1" applyFill="1" applyAlignment="1"/>
    <xf numFmtId="170" fontId="168"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68" fillId="0" borderId="17" xfId="2" applyNumberFormat="1" applyFont="1" applyFill="1" applyBorder="1" applyAlignment="1"/>
    <xf numFmtId="165" fontId="79" fillId="0" borderId="0" xfId="2" applyNumberFormat="1" applyFont="1" applyFill="1" applyAlignment="1"/>
    <xf numFmtId="0" fontId="39"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7" fillId="0" borderId="10" xfId="2" quotePrefix="1" applyNumberFormat="1" applyFont="1" applyFill="1" applyBorder="1" applyAlignment="1">
      <alignment horizontal="right"/>
    </xf>
    <xf numFmtId="170" fontId="67" fillId="0" borderId="20" xfId="2" quotePrefix="1" applyNumberFormat="1" applyFont="1" applyFill="1" applyBorder="1" applyAlignment="1">
      <alignment horizontal="center"/>
    </xf>
    <xf numFmtId="174" fontId="67" fillId="0" borderId="20" xfId="2" applyNumberFormat="1" applyFont="1" applyFill="1" applyBorder="1" applyAlignment="1"/>
    <xf numFmtId="166" fontId="62" fillId="0" borderId="36" xfId="2" applyNumberFormat="1" applyFont="1" applyFill="1" applyBorder="1" applyAlignment="1"/>
    <xf numFmtId="0" fontId="153"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7"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2" fillId="0" borderId="20" xfId="2" applyNumberFormat="1" applyFont="1" applyFill="1" applyBorder="1" applyAlignment="1" applyProtection="1">
      <protection locked="0"/>
    </xf>
    <xf numFmtId="170" fontId="169" fillId="0" borderId="0" xfId="2" applyNumberFormat="1" applyFont="1" applyFill="1" applyAlignment="1"/>
    <xf numFmtId="170" fontId="67"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5" fillId="0" borderId="0" xfId="2" applyNumberFormat="1" applyFont="1" applyFill="1" applyBorder="1" applyAlignment="1">
      <alignment horizontal="center"/>
    </xf>
    <xf numFmtId="166" fontId="45" fillId="0" borderId="10" xfId="2" applyNumberFormat="1" applyFont="1" applyFill="1" applyBorder="1" applyAlignment="1">
      <alignment horizontal="center"/>
    </xf>
    <xf numFmtId="170" fontId="45" fillId="0" borderId="16" xfId="2" quotePrefix="1" applyNumberFormat="1" applyFont="1" applyFill="1" applyBorder="1" applyAlignment="1"/>
    <xf numFmtId="174" fontId="45"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5"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3" fillId="0" borderId="0" xfId="2" applyNumberFormat="1" applyFont="1" applyFill="1" applyBorder="1" applyAlignment="1"/>
    <xf numFmtId="166" fontId="60" fillId="0" borderId="0" xfId="2" applyNumberFormat="1" applyFont="1" applyFill="1" applyAlignment="1">
      <alignment horizontal="right"/>
    </xf>
    <xf numFmtId="164" fontId="45" fillId="0" borderId="0" xfId="2" applyNumberFormat="1" applyFont="1" applyFill="1" applyBorder="1" applyAlignment="1"/>
    <xf numFmtId="172" fontId="38" fillId="0" borderId="0" xfId="0" applyNumberFormat="1" applyFont="1" applyFill="1" applyBorder="1" applyAlignment="1" applyProtection="1">
      <protection locked="0"/>
    </xf>
    <xf numFmtId="164" fontId="45" fillId="0" borderId="16" xfId="0" applyNumberFormat="1" applyFont="1" applyFill="1" applyBorder="1" applyAlignment="1" applyProtection="1">
      <protection locked="0"/>
    </xf>
    <xf numFmtId="170" fontId="66" fillId="0" borderId="0" xfId="2" applyNumberFormat="1" applyFont="1" applyFill="1" applyBorder="1"/>
    <xf numFmtId="164" fontId="45" fillId="0" borderId="66" xfId="0" applyNumberFormat="1" applyFont="1" applyFill="1" applyBorder="1" applyAlignment="1" applyProtection="1">
      <protection locked="0"/>
    </xf>
    <xf numFmtId="170" fontId="60" fillId="0" borderId="21" xfId="2" applyNumberFormat="1" applyFont="1" applyFill="1" applyBorder="1" applyAlignment="1"/>
    <xf numFmtId="164" fontId="38"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64" fontId="38"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8" fillId="0" borderId="0" xfId="2" applyNumberFormat="1" applyFont="1" applyFill="1" applyBorder="1" applyAlignment="1"/>
    <xf numFmtId="170" fontId="59" fillId="0" borderId="10" xfId="2" applyNumberFormat="1" applyFont="1" applyFill="1" applyBorder="1" applyAlignment="1"/>
    <xf numFmtId="172" fontId="45"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5"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8" fillId="0" borderId="0" xfId="2" applyNumberFormat="1" applyFont="1" applyFill="1" applyAlignment="1" applyProtection="1"/>
    <xf numFmtId="165" fontId="44" fillId="0" borderId="0" xfId="2" applyNumberFormat="1" applyFont="1" applyFill="1" applyBorder="1" applyAlignment="1" applyProtection="1"/>
    <xf numFmtId="164" fontId="45"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70" fontId="59" fillId="0" borderId="66" xfId="2" applyNumberFormat="1" applyFont="1" applyFill="1" applyBorder="1" applyAlignment="1" applyProtection="1"/>
    <xf numFmtId="164" fontId="38"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5" fillId="0" borderId="17" xfId="2" applyNumberFormat="1" applyFont="1" applyFill="1" applyBorder="1" applyAlignment="1" applyProtection="1"/>
    <xf numFmtId="165" fontId="38"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5" fillId="0" borderId="66" xfId="0" quotePrefix="1" applyNumberFormat="1" applyFont="1" applyFill="1" applyBorder="1" applyAlignment="1" applyProtection="1"/>
    <xf numFmtId="165" fontId="38" fillId="0" borderId="66" xfId="0" applyNumberFormat="1" applyFont="1" applyFill="1" applyBorder="1" applyAlignment="1" applyProtection="1"/>
    <xf numFmtId="165" fontId="45" fillId="0" borderId="0" xfId="0" applyNumberFormat="1" applyFont="1" applyFill="1" applyBorder="1" applyAlignment="1" applyProtection="1"/>
    <xf numFmtId="165" fontId="45" fillId="0" borderId="66" xfId="0" applyNumberFormat="1" applyFont="1" applyFill="1" applyBorder="1" applyAlignment="1" applyProtection="1">
      <alignment horizontal="centerContinuous"/>
    </xf>
    <xf numFmtId="165" fontId="45" fillId="0" borderId="0" xfId="0" applyNumberFormat="1" applyFont="1" applyFill="1" applyBorder="1" applyAlignment="1" applyProtection="1">
      <alignment horizontal="center"/>
    </xf>
    <xf numFmtId="165" fontId="45" fillId="0" borderId="84" xfId="0" applyNumberFormat="1" applyFont="1" applyFill="1" applyBorder="1" applyAlignment="1" applyProtection="1">
      <alignment horizontal="center"/>
    </xf>
    <xf numFmtId="165" fontId="45" fillId="0" borderId="82" xfId="0" quotePrefix="1" applyNumberFormat="1" applyFont="1" applyFill="1" applyBorder="1" applyAlignment="1" applyProtection="1">
      <alignment horizontal="center"/>
    </xf>
    <xf numFmtId="165" fontId="45" fillId="0" borderId="0" xfId="0" applyNumberFormat="1" applyFont="1" applyFill="1" applyAlignment="1" applyProtection="1">
      <alignment horizontal="center"/>
    </xf>
    <xf numFmtId="0" fontId="45" fillId="0" borderId="0" xfId="0" applyNumberFormat="1" applyFont="1" applyFill="1" applyBorder="1" applyAlignment="1" applyProtection="1">
      <alignment horizontal="center"/>
    </xf>
    <xf numFmtId="0" fontId="45" fillId="0" borderId="66" xfId="0" quotePrefix="1" applyNumberFormat="1" applyFont="1" applyFill="1" applyBorder="1" applyAlignment="1" applyProtection="1">
      <alignment horizontal="center"/>
    </xf>
    <xf numFmtId="170" fontId="45" fillId="0" borderId="86" xfId="0" quotePrefix="1" applyNumberFormat="1" applyFont="1" applyFill="1" applyBorder="1" applyAlignment="1" applyProtection="1"/>
    <xf numFmtId="166" fontId="45" fillId="0" borderId="84" xfId="0" applyNumberFormat="1" applyFont="1" applyFill="1" applyBorder="1" applyAlignment="1" applyProtection="1"/>
    <xf numFmtId="181" fontId="67" fillId="0" borderId="0" xfId="1776" quotePrefix="1" applyNumberFormat="1" applyFont="1" applyFill="1" applyAlignment="1">
      <alignment horizontal="center"/>
    </xf>
    <xf numFmtId="0" fontId="45" fillId="0" borderId="0" xfId="2" applyNumberFormat="1" applyFont="1" applyFill="1" applyAlignment="1" applyProtection="1">
      <alignment horizontal="center"/>
    </xf>
    <xf numFmtId="164" fontId="40" fillId="0" borderId="0" xfId="0" applyFont="1" applyFill="1" applyBorder="1" applyAlignment="1" applyProtection="1">
      <alignment horizontal="left"/>
    </xf>
    <xf numFmtId="167" fontId="40" fillId="0" borderId="0" xfId="0" applyNumberFormat="1" applyFont="1" applyFill="1" applyAlignment="1" applyProtection="1"/>
    <xf numFmtId="170" fontId="40" fillId="0" borderId="0" xfId="0" applyNumberFormat="1" applyFont="1" applyFill="1" applyAlignment="1" applyProtection="1">
      <alignment horizontal="right"/>
    </xf>
    <xf numFmtId="170" fontId="49" fillId="0" borderId="0" xfId="0" applyNumberFormat="1" applyFont="1" applyFill="1" applyAlignment="1" applyProtection="1"/>
    <xf numFmtId="166" fontId="41"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8" fillId="0" borderId="0" xfId="0" applyNumberFormat="1" applyFont="1" applyFill="1" applyAlignment="1"/>
    <xf numFmtId="170" fontId="45" fillId="0" borderId="0" xfId="0" applyNumberFormat="1" applyFont="1" applyFill="1" applyBorder="1" applyAlignment="1"/>
    <xf numFmtId="170" fontId="45" fillId="0" borderId="10" xfId="0" applyNumberFormat="1" applyFont="1" applyFill="1" applyBorder="1" applyAlignment="1"/>
    <xf numFmtId="170" fontId="137" fillId="0" borderId="0" xfId="2" applyNumberFormat="1" applyFont="1" applyFill="1" applyBorder="1" applyAlignment="1"/>
    <xf numFmtId="0" fontId="62" fillId="0" borderId="0" xfId="836" quotePrefix="1" applyNumberFormat="1" applyFont="1" applyFill="1" applyAlignment="1">
      <alignment horizontal="left"/>
    </xf>
    <xf numFmtId="165" fontId="66" fillId="0" borderId="0" xfId="840" quotePrefix="1" applyNumberFormat="1" applyFont="1" applyAlignment="1"/>
    <xf numFmtId="44" fontId="154" fillId="0" borderId="0" xfId="5458" applyNumberFormat="1" applyFont="1" applyFill="1"/>
    <xf numFmtId="44" fontId="43" fillId="0" borderId="0" xfId="5508" applyNumberFormat="1" applyFont="1" applyFill="1" applyBorder="1"/>
    <xf numFmtId="41" fontId="44" fillId="0" borderId="0" xfId="1773" applyNumberFormat="1" applyFont="1" applyFill="1" applyAlignment="1">
      <alignment horizontal="right"/>
    </xf>
    <xf numFmtId="174" fontId="38"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8" fillId="0" borderId="0" xfId="17" applyNumberFormat="1" applyFont="1" applyFill="1" applyAlignment="1">
      <alignment horizontal="right"/>
    </xf>
    <xf numFmtId="170" fontId="45" fillId="0" borderId="16" xfId="2" applyNumberFormat="1" applyFont="1" applyFill="1" applyBorder="1" applyAlignment="1"/>
    <xf numFmtId="170" fontId="38" fillId="0" borderId="10" xfId="0" quotePrefix="1" applyNumberFormat="1" applyFont="1" applyFill="1" applyBorder="1" applyAlignment="1" applyProtection="1">
      <alignment horizontal="right"/>
    </xf>
    <xf numFmtId="166" fontId="45" fillId="0" borderId="10" xfId="0" quotePrefix="1" applyNumberFormat="1" applyFont="1" applyFill="1" applyBorder="1" applyAlignment="1" applyProtection="1">
      <alignment horizontal="center"/>
    </xf>
    <xf numFmtId="170" fontId="45"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8" fillId="0" borderId="0" xfId="2" applyNumberFormat="1" applyFont="1" applyFill="1" applyBorder="1" applyAlignment="1" applyProtection="1"/>
    <xf numFmtId="165" fontId="133" fillId="0" borderId="0" xfId="0" applyNumberFormat="1" applyFont="1" applyFill="1" applyBorder="1" applyAlignment="1" applyProtection="1"/>
    <xf numFmtId="177" fontId="38" fillId="0" borderId="0" xfId="740" quotePrefix="1" applyNumberFormat="1" applyFont="1" applyFill="1" applyAlignment="1"/>
    <xf numFmtId="182" fontId="38" fillId="0" borderId="0" xfId="740" applyNumberFormat="1" applyFont="1" applyFill="1" applyAlignment="1"/>
    <xf numFmtId="170" fontId="40" fillId="0" borderId="0" xfId="5" applyNumberFormat="1" applyFont="1" applyFill="1"/>
    <xf numFmtId="170" fontId="38" fillId="0" borderId="100" xfId="0" quotePrefix="1" applyNumberFormat="1" applyFont="1" applyFill="1" applyBorder="1" applyAlignment="1" applyProtection="1">
      <alignment horizontal="right"/>
    </xf>
    <xf numFmtId="181" fontId="67" fillId="0" borderId="102" xfId="1776" applyNumberFormat="1" applyFont="1" applyFill="1" applyBorder="1" applyAlignment="1">
      <alignment horizontal="center"/>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5" fillId="0" borderId="66" xfId="740" quotePrefix="1" applyNumberFormat="1" applyFont="1" applyFill="1" applyBorder="1" applyAlignment="1">
      <alignment horizontal="center"/>
    </xf>
    <xf numFmtId="177" fontId="38" fillId="0" borderId="0" xfId="0" applyNumberFormat="1" applyFont="1" applyFill="1" applyAlignment="1">
      <alignment horizontal="center"/>
    </xf>
    <xf numFmtId="165" fontId="38" fillId="0" borderId="0" xfId="840" applyNumberFormat="1" applyFont="1" applyFill="1" applyAlignment="1" applyProtection="1">
      <protection locked="0"/>
    </xf>
    <xf numFmtId="165" fontId="45" fillId="0" borderId="0" xfId="840" applyNumberFormat="1" applyFont="1" applyFill="1" applyAlignment="1">
      <alignment horizontal="right"/>
    </xf>
    <xf numFmtId="165" fontId="45" fillId="0" borderId="0" xfId="840" applyNumberFormat="1" applyFont="1" applyFill="1" applyAlignment="1"/>
    <xf numFmtId="170" fontId="60"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5" fillId="0" borderId="21" xfId="2" applyNumberFormat="1" applyFont="1" applyFill="1" applyBorder="1" applyAlignment="1" applyProtection="1"/>
    <xf numFmtId="165" fontId="40" fillId="0" borderId="21" xfId="2" applyNumberFormat="1" applyFont="1" applyFill="1" applyBorder="1" applyAlignment="1" applyProtection="1"/>
    <xf numFmtId="174" fontId="38" fillId="0" borderId="21" xfId="2" applyNumberFormat="1" applyFont="1" applyFill="1" applyBorder="1" applyAlignment="1" applyProtection="1"/>
    <xf numFmtId="170" fontId="49" fillId="0" borderId="0" xfId="2" applyNumberFormat="1" applyFont="1" applyFill="1" applyBorder="1" applyAlignment="1" applyProtection="1"/>
    <xf numFmtId="170" fontId="49"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7" fillId="0" borderId="10" xfId="2" applyNumberFormat="1" applyFont="1" applyFill="1" applyBorder="1" applyAlignment="1">
      <alignment horizontal="center"/>
    </xf>
    <xf numFmtId="167" fontId="45" fillId="0" borderId="0" xfId="2" applyNumberFormat="1" applyFont="1" applyFill="1" applyAlignment="1" applyProtection="1"/>
    <xf numFmtId="174" fontId="0" fillId="0" borderId="0" xfId="2" applyNumberFormat="1" applyFont="1" applyFill="1" applyProtection="1"/>
    <xf numFmtId="174" fontId="45" fillId="0" borderId="0" xfId="5517" applyNumberFormat="1" applyFont="1" applyFill="1"/>
    <xf numFmtId="170" fontId="40" fillId="0" borderId="0" xfId="4" applyNumberFormat="1" applyFont="1" applyFill="1"/>
    <xf numFmtId="170" fontId="40" fillId="0" borderId="0" xfId="1" quotePrefix="1" applyNumberFormat="1" applyFont="1" applyFill="1" applyAlignment="1"/>
    <xf numFmtId="170" fontId="38" fillId="0" borderId="0" xfId="1" quotePrefix="1" applyNumberFormat="1" applyFont="1" applyFill="1" applyAlignment="1"/>
    <xf numFmtId="170" fontId="0" fillId="0" borderId="0" xfId="0" applyNumberFormat="1" applyFill="1"/>
    <xf numFmtId="170" fontId="38" fillId="0" borderId="66" xfId="2" applyNumberFormat="1" applyFont="1" applyFill="1" applyBorder="1" applyAlignment="1">
      <alignment horizontal="center"/>
    </xf>
    <xf numFmtId="170" fontId="45" fillId="0" borderId="0" xfId="2" applyNumberFormat="1" applyFont="1" applyFill="1" applyBorder="1"/>
    <xf numFmtId="169" fontId="0" fillId="0" borderId="0" xfId="2" applyNumberFormat="1" applyFont="1" applyFill="1"/>
    <xf numFmtId="174" fontId="45" fillId="0" borderId="0" xfId="5517" applyNumberFormat="1" applyFont="1" applyFill="1" applyProtection="1"/>
    <xf numFmtId="170" fontId="45" fillId="0" borderId="46" xfId="2" applyNumberFormat="1" applyFont="1" applyFill="1" applyBorder="1" applyAlignment="1" applyProtection="1"/>
    <xf numFmtId="166" fontId="38" fillId="0" borderId="0" xfId="5517" applyNumberFormat="1" applyFont="1" applyFill="1" applyProtection="1"/>
    <xf numFmtId="174" fontId="45" fillId="0" borderId="0" xfId="2" applyNumberFormat="1" applyFont="1" applyFill="1" applyBorder="1" applyAlignment="1" applyProtection="1"/>
    <xf numFmtId="0" fontId="40" fillId="0" borderId="0" xfId="2" applyFont="1" applyFill="1" applyBorder="1" applyAlignment="1"/>
    <xf numFmtId="0" fontId="45" fillId="0" borderId="0" xfId="2" quotePrefix="1" applyNumberFormat="1" applyFont="1" applyFill="1" applyBorder="1" applyAlignment="1" applyProtection="1">
      <alignment horizontal="center"/>
    </xf>
    <xf numFmtId="174" fontId="45" fillId="0" borderId="47" xfId="2" applyNumberFormat="1" applyFont="1" applyFill="1" applyBorder="1" applyAlignment="1" applyProtection="1"/>
    <xf numFmtId="165" fontId="40" fillId="0" borderId="47" xfId="2" applyNumberFormat="1" applyFont="1" applyFill="1" applyBorder="1" applyAlignment="1" applyProtection="1"/>
    <xf numFmtId="170" fontId="40" fillId="0" borderId="47" xfId="2" applyNumberFormat="1" applyFont="1" applyFill="1" applyBorder="1" applyAlignment="1" applyProtection="1"/>
    <xf numFmtId="170" fontId="38" fillId="0" borderId="47" xfId="2" applyNumberFormat="1" applyFont="1" applyFill="1" applyBorder="1" applyAlignment="1" applyProtection="1"/>
    <xf numFmtId="174" fontId="38" fillId="0" borderId="47" xfId="2" applyNumberFormat="1" applyFont="1" applyFill="1" applyBorder="1" applyAlignment="1" applyProtection="1"/>
    <xf numFmtId="170" fontId="45" fillId="0" borderId="47" xfId="2" applyNumberFormat="1" applyFont="1" applyFill="1" applyBorder="1" applyAlignment="1" applyProtection="1"/>
    <xf numFmtId="170" fontId="40"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7" fillId="0" borderId="0" xfId="2" applyNumberFormat="1" applyFont="1" applyFill="1" applyBorder="1" applyAlignment="1" applyProtection="1">
      <alignment horizontal="right"/>
    </xf>
    <xf numFmtId="170" fontId="45" fillId="0" borderId="99"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165" fontId="45" fillId="0" borderId="0" xfId="0" quotePrefix="1" applyNumberFormat="1" applyFont="1" applyFill="1" applyAlignment="1" applyProtection="1">
      <alignment horizontal="centerContinuous"/>
    </xf>
    <xf numFmtId="165" fontId="45" fillId="0" borderId="82" xfId="0" applyNumberFormat="1" applyFont="1" applyFill="1" applyBorder="1" applyAlignment="1" applyProtection="1">
      <alignment horizontal="center"/>
    </xf>
    <xf numFmtId="0" fontId="45" fillId="0" borderId="0" xfId="0" quotePrefix="1" applyNumberFormat="1" applyFont="1" applyFill="1" applyAlignment="1" applyProtection="1">
      <alignment horizontal="center"/>
    </xf>
    <xf numFmtId="165" fontId="38" fillId="0" borderId="82" xfId="0" applyNumberFormat="1" applyFont="1" applyFill="1" applyBorder="1" applyAlignment="1" applyProtection="1"/>
    <xf numFmtId="174" fontId="38" fillId="0" borderId="0" xfId="0" quotePrefix="1" applyNumberFormat="1" applyFont="1" applyFill="1" applyAlignment="1" applyProtection="1">
      <alignment horizontal="right"/>
    </xf>
    <xf numFmtId="170" fontId="45" fillId="0" borderId="98" xfId="0" quotePrefix="1" applyNumberFormat="1" applyFont="1" applyFill="1" applyBorder="1" applyAlignment="1" applyProtection="1"/>
    <xf numFmtId="170" fontId="38" fillId="0" borderId="0" xfId="0" applyNumberFormat="1" applyFont="1" applyFill="1" applyAlignment="1" applyProtection="1">
      <alignment horizontal="right"/>
    </xf>
    <xf numFmtId="166" fontId="45" fillId="0" borderId="82" xfId="0" applyNumberFormat="1" applyFont="1" applyFill="1" applyBorder="1" applyAlignment="1" applyProtection="1"/>
    <xf numFmtId="174" fontId="45" fillId="0" borderId="41" xfId="0" applyNumberFormat="1" applyFont="1" applyFill="1" applyBorder="1" applyAlignment="1" applyProtection="1"/>
    <xf numFmtId="165" fontId="135" fillId="0" borderId="0" xfId="2" applyNumberFormat="1" applyFont="1" applyFill="1" applyAlignment="1"/>
    <xf numFmtId="0" fontId="45" fillId="0" borderId="10" xfId="2" quotePrefix="1" applyNumberFormat="1" applyFont="1" applyFill="1" applyBorder="1" applyAlignment="1">
      <alignment horizontal="center"/>
    </xf>
    <xf numFmtId="174" fontId="38" fillId="0" borderId="0" xfId="2" applyNumberFormat="1" applyFont="1" applyFill="1" applyBorder="1" applyAlignment="1">
      <alignment horizontal="right"/>
    </xf>
    <xf numFmtId="170" fontId="38" fillId="0" borderId="0" xfId="2" applyNumberFormat="1" applyFont="1" applyFill="1" applyBorder="1" applyAlignment="1">
      <alignment horizontal="center"/>
    </xf>
    <xf numFmtId="0" fontId="40" fillId="0" borderId="20" xfId="2" applyNumberFormat="1" applyFont="1" applyFill="1" applyBorder="1" applyAlignment="1"/>
    <xf numFmtId="0" fontId="40" fillId="0" borderId="0" xfId="2" applyFont="1" applyFill="1" applyAlignment="1"/>
    <xf numFmtId="170" fontId="45"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94" fontId="45"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40" fillId="0" borderId="0" xfId="0" quotePrefix="1" applyNumberFormat="1" applyFont="1" applyFill="1" applyAlignment="1" applyProtection="1"/>
    <xf numFmtId="170" fontId="40" fillId="0" borderId="0" xfId="0" quotePrefix="1" applyNumberFormat="1" applyFont="1" applyFill="1" applyAlignment="1" applyProtection="1">
      <alignment horizontal="right"/>
    </xf>
    <xf numFmtId="49" fontId="38" fillId="0" borderId="0" xfId="17" applyNumberFormat="1" applyFont="1" applyFill="1" applyBorder="1" applyAlignment="1">
      <alignment horizontal="center"/>
    </xf>
    <xf numFmtId="0" fontId="38" fillId="0" borderId="66" xfId="17" applyNumberFormat="1" applyFont="1" applyFill="1" applyBorder="1" applyAlignment="1">
      <alignment horizontal="center"/>
    </xf>
    <xf numFmtId="164" fontId="64" fillId="0" borderId="0" xfId="0" quotePrefix="1" applyNumberFormat="1" applyFont="1" applyFill="1" applyBorder="1" applyAlignment="1" applyProtection="1"/>
    <xf numFmtId="164" fontId="65" fillId="0" borderId="107" xfId="0" applyNumberFormat="1" applyFont="1" applyFill="1" applyBorder="1" applyAlignment="1" applyProtection="1"/>
    <xf numFmtId="4" fontId="45" fillId="0" borderId="0" xfId="0" applyNumberFormat="1" applyFont="1" applyFill="1" applyProtection="1"/>
    <xf numFmtId="4" fontId="45" fillId="0" borderId="0" xfId="0" applyNumberFormat="1" applyFont="1" applyFill="1" applyAlignment="1" applyProtection="1">
      <alignment horizontal="center"/>
    </xf>
    <xf numFmtId="43" fontId="45" fillId="0" borderId="0" xfId="0" applyNumberFormat="1" applyFont="1" applyFill="1" applyAlignment="1" applyProtection="1">
      <alignment horizontal="right"/>
    </xf>
    <xf numFmtId="0" fontId="98" fillId="0" borderId="0" xfId="0" applyNumberFormat="1" applyFont="1" applyFill="1" applyAlignment="1" applyProtection="1"/>
    <xf numFmtId="42" fontId="43" fillId="0" borderId="0" xfId="0" applyNumberFormat="1" applyFont="1" applyFill="1" applyAlignment="1"/>
    <xf numFmtId="41" fontId="43" fillId="0" borderId="0" xfId="0" applyNumberFormat="1" applyFont="1" applyFill="1" applyAlignment="1"/>
    <xf numFmtId="41" fontId="43" fillId="0" borderId="0" xfId="0" applyNumberFormat="1" applyFont="1" applyFill="1" applyAlignment="1">
      <alignment horizontal="right"/>
    </xf>
    <xf numFmtId="41" fontId="43" fillId="0" borderId="0" xfId="0" quotePrefix="1" applyNumberFormat="1" applyFont="1" applyFill="1" applyAlignment="1">
      <alignment horizontal="right"/>
    </xf>
    <xf numFmtId="3" fontId="43" fillId="0" borderId="0" xfId="0" applyNumberFormat="1" applyFont="1" applyFill="1" applyBorder="1" applyAlignment="1"/>
    <xf numFmtId="42" fontId="44" fillId="0" borderId="87" xfId="0" applyNumberFormat="1" applyFont="1" applyFill="1" applyBorder="1" applyAlignment="1">
      <alignment horizontal="right"/>
    </xf>
    <xf numFmtId="43" fontId="183" fillId="0" borderId="0" xfId="9967" applyNumberFormat="1"/>
    <xf numFmtId="43" fontId="44" fillId="0" borderId="66" xfId="9967" quotePrefix="1" applyNumberFormat="1" applyFont="1" applyFill="1" applyBorder="1" applyAlignment="1">
      <alignment horizontal="center"/>
    </xf>
    <xf numFmtId="43" fontId="43" fillId="0" borderId="0" xfId="0" applyNumberFormat="1" applyFont="1" applyFill="1" applyBorder="1" applyAlignment="1"/>
    <xf numFmtId="43" fontId="44" fillId="0" borderId="0" xfId="0" applyNumberFormat="1" applyFont="1" applyFill="1" applyBorder="1"/>
    <xf numFmtId="43" fontId="43" fillId="0" borderId="0" xfId="0" quotePrefix="1" applyNumberFormat="1" applyFont="1" applyFill="1" applyAlignment="1"/>
    <xf numFmtId="43" fontId="43" fillId="0" borderId="0" xfId="0" applyNumberFormat="1" applyFont="1" applyFill="1" applyAlignment="1">
      <alignment horizontal="left" vertical="top"/>
    </xf>
    <xf numFmtId="170" fontId="60" fillId="0" borderId="46" xfId="2" applyNumberFormat="1" applyFont="1" applyBorder="1" applyAlignment="1" applyProtection="1"/>
    <xf numFmtId="170" fontId="60" fillId="0" borderId="46" xfId="2" applyNumberFormat="1" applyFont="1" applyFill="1" applyBorder="1" applyAlignment="1" applyProtection="1"/>
    <xf numFmtId="164" fontId="38" fillId="0" borderId="46" xfId="2" applyNumberFormat="1" applyFont="1" applyFill="1" applyBorder="1" applyAlignment="1" applyProtection="1"/>
    <xf numFmtId="170" fontId="60" fillId="0" borderId="10" xfId="2" applyNumberFormat="1" applyFont="1" applyFill="1" applyBorder="1" applyAlignment="1">
      <alignment horizontal="center"/>
    </xf>
    <xf numFmtId="170" fontId="45" fillId="0" borderId="10" xfId="1046" applyNumberFormat="1" applyFont="1" applyFill="1" applyBorder="1"/>
    <xf numFmtId="164" fontId="45" fillId="0" borderId="10" xfId="1046" applyNumberFormat="1" applyFont="1" applyFill="1" applyBorder="1"/>
    <xf numFmtId="165" fontId="38" fillId="58" borderId="0" xfId="0" applyNumberFormat="1" applyFont="1" applyFill="1" applyAlignment="1" applyProtection="1"/>
    <xf numFmtId="170" fontId="38" fillId="58" borderId="0" xfId="0" applyNumberFormat="1" applyFont="1" applyFill="1" applyAlignment="1" applyProtection="1"/>
    <xf numFmtId="170" fontId="45" fillId="58" borderId="0" xfId="0" applyNumberFormat="1" applyFont="1" applyFill="1" applyAlignment="1" applyProtection="1"/>
    <xf numFmtId="165" fontId="45" fillId="58" borderId="0" xfId="0" applyNumberFormat="1" applyFont="1" applyFill="1" applyAlignment="1" applyProtection="1"/>
    <xf numFmtId="174" fontId="45" fillId="58" borderId="0" xfId="0" applyNumberFormat="1" applyFont="1" applyFill="1" applyAlignment="1" applyProtection="1"/>
    <xf numFmtId="41" fontId="154" fillId="0" borderId="0" xfId="5458" applyNumberFormat="1" applyFont="1" applyFill="1" applyAlignment="1">
      <alignment horizontal="center"/>
    </xf>
    <xf numFmtId="181" fontId="43" fillId="0" borderId="0" xfId="1776" applyNumberFormat="1" applyFont="1" applyFill="1" applyAlignment="1"/>
    <xf numFmtId="172" fontId="45"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9" fillId="0" borderId="0" xfId="2" applyNumberFormat="1" applyFont="1" applyAlignment="1"/>
    <xf numFmtId="165" fontId="83" fillId="0" borderId="0" xfId="0" applyNumberFormat="1" applyFont="1" applyAlignment="1" applyProtection="1">
      <protection locked="0"/>
    </xf>
    <xf numFmtId="170" fontId="40" fillId="0" borderId="72" xfId="0" applyNumberFormat="1" applyFont="1" applyFill="1" applyBorder="1" applyAlignment="1" applyProtection="1"/>
    <xf numFmtId="0" fontId="38" fillId="0" borderId="106" xfId="4" applyFont="1" applyFill="1" applyBorder="1" applyProtection="1"/>
    <xf numFmtId="166" fontId="38" fillId="0" borderId="106" xfId="4" applyNumberFormat="1" applyFont="1" applyFill="1" applyBorder="1" applyProtection="1"/>
    <xf numFmtId="166" fontId="38" fillId="0" borderId="0" xfId="4" applyNumberFormat="1" applyFont="1" applyFill="1" applyProtection="1"/>
    <xf numFmtId="0" fontId="38" fillId="0" borderId="0" xfId="4" applyNumberFormat="1" applyFont="1" applyFill="1" applyBorder="1" applyAlignment="1" applyProtection="1">
      <alignment horizontal="center"/>
    </xf>
    <xf numFmtId="166" fontId="38" fillId="0" borderId="15" xfId="4" applyNumberFormat="1" applyFont="1" applyFill="1" applyBorder="1" applyProtection="1"/>
    <xf numFmtId="170" fontId="45" fillId="0" borderId="107" xfId="0" quotePrefix="1" applyNumberFormat="1" applyFont="1" applyFill="1" applyBorder="1" applyAlignment="1" applyProtection="1"/>
    <xf numFmtId="164" fontId="66" fillId="0" borderId="0" xfId="2" applyNumberFormat="1" applyFont="1" applyAlignment="1"/>
    <xf numFmtId="172" fontId="45" fillId="0" borderId="10" xfId="2" applyNumberFormat="1" applyFont="1" applyFill="1" applyBorder="1" applyAlignment="1" applyProtection="1">
      <alignment horizontal="right"/>
    </xf>
    <xf numFmtId="164" fontId="169" fillId="0" borderId="10" xfId="1940" applyNumberFormat="1" applyFont="1" applyBorder="1" applyAlignment="1"/>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7" fillId="0" borderId="0" xfId="0" applyNumberFormat="1" applyFont="1"/>
    <xf numFmtId="49" fontId="111"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3" fillId="0" borderId="0" xfId="0" applyNumberFormat="1" applyFont="1" applyBorder="1" applyAlignment="1">
      <alignment horizontal="left"/>
    </xf>
    <xf numFmtId="43" fontId="167" fillId="0" borderId="0" xfId="17924" applyFont="1"/>
    <xf numFmtId="164" fontId="43" fillId="0" borderId="0" xfId="0" applyFont="1" applyBorder="1" applyAlignment="1">
      <alignment horizontal="left" indent="1"/>
    </xf>
    <xf numFmtId="43" fontId="43" fillId="0" borderId="0" xfId="0" applyNumberFormat="1" applyFont="1" applyBorder="1"/>
    <xf numFmtId="0" fontId="44" fillId="0" borderId="0" xfId="9967" applyFont="1" applyBorder="1" applyAlignment="1">
      <alignment horizontal="centerContinuous" vertical="top"/>
    </xf>
    <xf numFmtId="0" fontId="44" fillId="0" borderId="0" xfId="9967" applyNumberFormat="1" applyFont="1" applyFill="1" applyBorder="1" applyAlignment="1">
      <alignment horizontal="center"/>
    </xf>
    <xf numFmtId="0" fontId="44" fillId="0" borderId="0" xfId="9967" applyNumberFormat="1" applyFont="1" applyFill="1" applyBorder="1" applyAlignment="1" applyProtection="1">
      <alignment horizontal="centerContinuous"/>
    </xf>
    <xf numFmtId="0" fontId="44" fillId="0" borderId="0" xfId="9967" applyNumberFormat="1" applyFont="1" applyFill="1" applyBorder="1" applyAlignment="1">
      <alignment horizontal="centerContinuous"/>
    </xf>
    <xf numFmtId="0" fontId="44" fillId="0" borderId="0" xfId="9967" applyNumberFormat="1" applyFont="1" applyBorder="1" applyAlignment="1">
      <alignment horizontal="centerContinuous"/>
    </xf>
    <xf numFmtId="0" fontId="44" fillId="0" borderId="10" xfId="9967" applyNumberFormat="1" applyFont="1" applyFill="1" applyBorder="1" applyAlignment="1">
      <alignment horizontal="centerContinuous"/>
    </xf>
    <xf numFmtId="0" fontId="44" fillId="0" borderId="10" xfId="9967" applyNumberFormat="1" applyFont="1" applyBorder="1" applyAlignment="1">
      <alignment horizontal="centerContinuous"/>
    </xf>
    <xf numFmtId="170" fontId="38" fillId="0" borderId="10" xfId="2" quotePrefix="1" applyNumberFormat="1" applyFont="1" applyBorder="1" applyAlignment="1"/>
    <xf numFmtId="170" fontId="40"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4" fillId="0" borderId="0" xfId="9967" applyNumberFormat="1" applyFont="1" applyFill="1" applyAlignment="1">
      <alignment horizontal="centerContinuous"/>
    </xf>
    <xf numFmtId="49" fontId="44" fillId="0" borderId="10" xfId="9967" applyNumberFormat="1" applyFont="1" applyFill="1" applyBorder="1" applyAlignment="1">
      <alignment horizontal="center"/>
    </xf>
    <xf numFmtId="169" fontId="50" fillId="0" borderId="0" xfId="8" applyNumberFormat="1" applyFont="1" applyFill="1" applyAlignment="1">
      <alignment horizontal="right" vertical="top"/>
    </xf>
    <xf numFmtId="170" fontId="38" fillId="0" borderId="0" xfId="0" applyNumberFormat="1" applyFont="1" applyAlignment="1">
      <alignment horizontal="right"/>
    </xf>
    <xf numFmtId="0" fontId="191" fillId="0" borderId="0" xfId="25863" applyFill="1"/>
    <xf numFmtId="0" fontId="193" fillId="0" borderId="0" xfId="25863" applyFont="1" applyFill="1" applyAlignment="1">
      <alignment horizontal="left"/>
    </xf>
    <xf numFmtId="0" fontId="193" fillId="0" borderId="0" xfId="25863" applyFont="1" applyFill="1" applyBorder="1" applyAlignment="1">
      <alignment horizontal="left"/>
    </xf>
    <xf numFmtId="7" fontId="191" fillId="0" borderId="0" xfId="25863" applyNumberFormat="1" applyFill="1"/>
    <xf numFmtId="0" fontId="197" fillId="0" borderId="0" xfId="25863" applyFont="1" applyFill="1" applyBorder="1" applyAlignment="1">
      <alignment horizontal="center" wrapText="1"/>
    </xf>
    <xf numFmtId="0" fontId="67" fillId="0" borderId="0" xfId="25863" applyFont="1" applyFill="1"/>
    <xf numFmtId="0" fontId="67" fillId="0" borderId="0" xfId="25863" applyFont="1" applyFill="1" applyAlignment="1">
      <alignment horizontal="right"/>
    </xf>
    <xf numFmtId="0" fontId="38" fillId="0" borderId="0" xfId="25866" applyFont="1" applyFill="1" applyBorder="1" applyAlignment="1">
      <alignment horizontal="left"/>
    </xf>
    <xf numFmtId="37" fontId="38" fillId="0" borderId="0" xfId="2" applyNumberFormat="1" applyFont="1" applyFill="1" applyAlignment="1">
      <alignment horizontal="center"/>
    </xf>
    <xf numFmtId="44" fontId="111" fillId="0" borderId="87" xfId="25862"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3" fillId="0" borderId="0" xfId="25863" applyFont="1" applyFill="1"/>
    <xf numFmtId="170" fontId="38" fillId="0" borderId="0" xfId="0" applyNumberFormat="1" applyFont="1" applyFill="1" applyBorder="1" applyAlignment="1" applyProtection="1">
      <alignment horizontal="right"/>
    </xf>
    <xf numFmtId="170" fontId="62" fillId="0" borderId="0" xfId="2" applyNumberFormat="1" applyFont="1" applyFill="1" applyAlignment="1">
      <alignment horizontal="right"/>
    </xf>
    <xf numFmtId="43" fontId="45" fillId="0" borderId="0" xfId="25870" applyNumberFormat="1" applyFont="1" applyFill="1" applyBorder="1"/>
    <xf numFmtId="164" fontId="111" fillId="0" borderId="0" xfId="0" applyFont="1" applyBorder="1" applyAlignment="1">
      <alignment horizontal="left"/>
    </xf>
    <xf numFmtId="43" fontId="111" fillId="0" borderId="0" xfId="0" applyNumberFormat="1" applyFont="1" applyBorder="1"/>
    <xf numFmtId="37" fontId="38" fillId="0" borderId="0" xfId="25864" applyNumberFormat="1" applyFont="1" applyFill="1" applyBorder="1">
      <alignment horizontal="right"/>
    </xf>
    <xf numFmtId="44" fontId="38" fillId="0" borderId="0" xfId="25868" applyFont="1" applyFill="1" applyBorder="1"/>
    <xf numFmtId="43" fontId="38" fillId="0" borderId="0" xfId="25870" applyNumberFormat="1" applyFont="1" applyFill="1" applyBorder="1"/>
    <xf numFmtId="43" fontId="45"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8" fillId="0" borderId="0" xfId="25863" applyNumberFormat="1" applyFont="1" applyFill="1"/>
    <xf numFmtId="0" fontId="15" fillId="0" borderId="0" xfId="841" applyFont="1" applyFill="1" applyProtection="1"/>
    <xf numFmtId="0" fontId="85" fillId="0" borderId="0" xfId="841" applyFont="1" applyFill="1" applyAlignment="1" applyProtection="1">
      <alignment horizontal="right"/>
    </xf>
    <xf numFmtId="0" fontId="83" fillId="0" borderId="0" xfId="1028" applyFont="1" applyFill="1" applyAlignment="1" applyProtection="1">
      <alignment horizontal="right"/>
    </xf>
    <xf numFmtId="39" fontId="44" fillId="0" borderId="0" xfId="1028" applyNumberFormat="1" applyFont="1" applyFill="1" applyAlignment="1" applyProtection="1"/>
    <xf numFmtId="186" fontId="45" fillId="0" borderId="50" xfId="1767" quotePrefix="1" applyNumberFormat="1" applyFont="1" applyFill="1" applyBorder="1" applyAlignment="1" applyProtection="1">
      <alignment horizontal="center"/>
    </xf>
    <xf numFmtId="39" fontId="45" fillId="0" borderId="0" xfId="0" applyNumberFormat="1" applyFont="1" applyFill="1" applyAlignment="1" applyProtection="1">
      <alignment horizontal="center"/>
    </xf>
    <xf numFmtId="43" fontId="45" fillId="0" borderId="35" xfId="1028" applyNumberFormat="1" applyFont="1" applyFill="1" applyBorder="1" applyAlignment="1" applyProtection="1">
      <alignment horizontal="right"/>
    </xf>
    <xf numFmtId="43" fontId="45" fillId="0" borderId="0" xfId="1028" applyNumberFormat="1" applyFont="1" applyFill="1" applyBorder="1" applyAlignment="1" applyProtection="1">
      <alignment horizontal="right"/>
    </xf>
    <xf numFmtId="164" fontId="45" fillId="0" borderId="0" xfId="0" applyFont="1" applyFill="1" applyAlignment="1" applyProtection="1">
      <alignment horizontal="right"/>
    </xf>
    <xf numFmtId="43" fontId="38"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5" fillId="0" borderId="87" xfId="0" applyNumberFormat="1" applyFont="1" applyFill="1" applyBorder="1" applyAlignment="1" applyProtection="1">
      <alignment horizontal="right"/>
    </xf>
    <xf numFmtId="4" fontId="45" fillId="0" borderId="0" xfId="0" applyNumberFormat="1" applyFont="1" applyFill="1" applyAlignment="1" applyProtection="1">
      <alignment horizontal="left" vertical="top"/>
    </xf>
    <xf numFmtId="0" fontId="0" fillId="0" borderId="0" xfId="0" applyNumberFormat="1" applyFill="1" applyProtection="1"/>
    <xf numFmtId="43" fontId="98" fillId="0" borderId="0" xfId="0" applyNumberFormat="1" applyFont="1" applyFill="1" applyProtection="1"/>
    <xf numFmtId="164" fontId="38" fillId="0" borderId="0" xfId="0" applyFont="1" applyFill="1" applyProtection="1"/>
    <xf numFmtId="177" fontId="205"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43" fontId="38" fillId="0" borderId="0" xfId="25863" applyNumberFormat="1" applyFont="1" applyFill="1"/>
    <xf numFmtId="0" fontId="38" fillId="0" borderId="0" xfId="25863" applyFont="1" applyFill="1"/>
    <xf numFmtId="0" fontId="197" fillId="0" borderId="0" xfId="25863" applyFont="1" applyFill="1" applyBorder="1" applyAlignment="1">
      <alignment horizontal="center"/>
    </xf>
    <xf numFmtId="44" fontId="45" fillId="0" borderId="87" xfId="25874" applyNumberFormat="1" applyFont="1" applyFill="1" applyBorder="1"/>
    <xf numFmtId="171" fontId="43" fillId="0" borderId="0" xfId="25863" applyNumberFormat="1" applyFont="1" applyFill="1"/>
    <xf numFmtId="44" fontId="165" fillId="0" borderId="0" xfId="25872" applyNumberFormat="1" applyFont="1" applyFill="1" applyBorder="1"/>
    <xf numFmtId="44" fontId="111" fillId="0" borderId="0" xfId="0" applyNumberFormat="1" applyFont="1" applyBorder="1"/>
    <xf numFmtId="172" fontId="38" fillId="0" borderId="0" xfId="2" applyNumberFormat="1" applyFont="1" applyAlignment="1" applyProtection="1"/>
    <xf numFmtId="172" fontId="45"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8" fillId="0" borderId="0" xfId="2" applyNumberFormat="1" applyFont="1" applyFill="1" applyProtection="1"/>
    <xf numFmtId="165" fontId="88" fillId="0" borderId="0" xfId="2" applyNumberFormat="1" applyFont="1" applyFill="1" applyAlignment="1" applyProtection="1">
      <alignment horizontal="left"/>
    </xf>
    <xf numFmtId="0" fontId="39" fillId="0" borderId="0" xfId="2" applyNumberFormat="1" applyFont="1" applyFill="1" applyAlignment="1" applyProtection="1">
      <alignment horizontal="right"/>
    </xf>
    <xf numFmtId="0" fontId="92" fillId="0" borderId="0" xfId="2" applyNumberFormat="1" applyFont="1" applyFill="1" applyAlignment="1" applyProtection="1">
      <alignment horizontal="left"/>
    </xf>
    <xf numFmtId="165" fontId="93" fillId="0" borderId="0" xfId="2" applyNumberFormat="1" applyFont="1" applyFill="1" applyAlignment="1" applyProtection="1"/>
    <xf numFmtId="165" fontId="45" fillId="0" borderId="0" xfId="2" quotePrefix="1" applyNumberFormat="1" applyFont="1" applyFill="1" applyAlignment="1" applyProtection="1">
      <alignment horizontal="center"/>
    </xf>
    <xf numFmtId="0" fontId="160" fillId="0" borderId="0" xfId="2" applyFont="1" applyFill="1" applyProtection="1"/>
    <xf numFmtId="165" fontId="45" fillId="0" borderId="0" xfId="2" applyNumberFormat="1" applyFont="1" applyFill="1" applyBorder="1" applyAlignment="1" applyProtection="1">
      <alignment horizontal="center"/>
    </xf>
    <xf numFmtId="170" fontId="88" fillId="0" borderId="0" xfId="2" applyNumberFormat="1" applyFont="1" applyFill="1" applyAlignment="1" applyProtection="1"/>
    <xf numFmtId="164" fontId="40" fillId="0" borderId="16" xfId="0" applyNumberFormat="1" applyFont="1" applyFill="1" applyBorder="1" applyAlignment="1" applyProtection="1"/>
    <xf numFmtId="166" fontId="45" fillId="0" borderId="0" xfId="2" applyNumberFormat="1" applyFont="1" applyFill="1" applyBorder="1" applyAlignment="1" applyProtection="1">
      <alignment horizontal="center"/>
    </xf>
    <xf numFmtId="172" fontId="40" fillId="0" borderId="0" xfId="1940" applyNumberFormat="1" applyFont="1" applyFill="1" applyBorder="1" applyAlignment="1" applyProtection="1"/>
    <xf numFmtId="0" fontId="165" fillId="0" borderId="0" xfId="2" applyNumberFormat="1" applyFont="1" applyFill="1" applyAlignment="1" applyProtection="1"/>
    <xf numFmtId="0" fontId="40" fillId="0" borderId="0" xfId="2" quotePrefix="1" applyNumberFormat="1" applyFont="1" applyFill="1" applyAlignment="1" applyProtection="1">
      <alignment horizontal="left"/>
    </xf>
    <xf numFmtId="172" fontId="45" fillId="0" borderId="66" xfId="0" applyNumberFormat="1" applyFont="1" applyFill="1" applyBorder="1" applyAlignment="1" applyProtection="1"/>
    <xf numFmtId="166" fontId="45" fillId="0" borderId="0" xfId="2" applyNumberFormat="1" applyFont="1" applyFill="1" applyProtection="1"/>
    <xf numFmtId="178" fontId="0" fillId="0" borderId="0" xfId="2" applyNumberFormat="1" applyFont="1" applyFill="1" applyProtection="1"/>
    <xf numFmtId="170" fontId="45" fillId="0" borderId="0" xfId="6" applyNumberFormat="1" applyFont="1" applyFill="1" applyBorder="1" applyAlignment="1" applyProtection="1"/>
    <xf numFmtId="170" fontId="45" fillId="0" borderId="0" xfId="2" applyNumberFormat="1" applyFont="1" applyFill="1" applyProtection="1"/>
    <xf numFmtId="165" fontId="40" fillId="0" borderId="0" xfId="2" quotePrefix="1" applyNumberFormat="1" applyFont="1" applyFill="1" applyAlignment="1" applyProtection="1">
      <alignment horizontal="left"/>
    </xf>
    <xf numFmtId="169" fontId="40" fillId="0" borderId="0" xfId="6" applyNumberFormat="1" applyFont="1" applyFill="1" applyBorder="1" applyAlignment="1" applyProtection="1"/>
    <xf numFmtId="0" fontId="83" fillId="0" borderId="0" xfId="2" applyFont="1" applyFill="1" applyAlignment="1" applyProtection="1"/>
    <xf numFmtId="164" fontId="45"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3" fillId="0" borderId="0" xfId="2" quotePrefix="1" applyNumberFormat="1" applyFont="1" applyFill="1" applyAlignment="1" applyProtection="1">
      <alignment horizontal="left"/>
    </xf>
    <xf numFmtId="166" fontId="83" fillId="0" borderId="0" xfId="2" applyNumberFormat="1" applyFont="1" applyFill="1" applyAlignment="1" applyProtection="1">
      <alignment horizontal="left"/>
    </xf>
    <xf numFmtId="172" fontId="45" fillId="0" borderId="70" xfId="2" applyNumberFormat="1" applyFont="1" applyBorder="1" applyAlignment="1" applyProtection="1"/>
    <xf numFmtId="164" fontId="38" fillId="0" borderId="0" xfId="1940" applyNumberFormat="1" applyFont="1" applyBorder="1" applyAlignment="1"/>
    <xf numFmtId="164" fontId="62" fillId="0" borderId="0" xfId="1940" applyNumberFormat="1" applyFont="1" applyFill="1" applyBorder="1" applyAlignment="1"/>
    <xf numFmtId="164" fontId="62" fillId="0" borderId="66" xfId="1940" applyNumberFormat="1" applyFont="1" applyBorder="1" applyAlignment="1"/>
    <xf numFmtId="164" fontId="67" fillId="0" borderId="66" xfId="1940" applyNumberFormat="1" applyFont="1" applyFill="1" applyBorder="1" applyAlignment="1"/>
    <xf numFmtId="164" fontId="45" fillId="0" borderId="107" xfId="2" applyNumberFormat="1" applyFont="1" applyBorder="1" applyAlignment="1" applyProtection="1"/>
    <xf numFmtId="166" fontId="38" fillId="0" borderId="0" xfId="0" applyNumberFormat="1" applyFont="1" applyFill="1" applyAlignment="1" applyProtection="1"/>
    <xf numFmtId="0" fontId="40" fillId="0" borderId="28" xfId="2" applyNumberFormat="1" applyFont="1" applyFill="1" applyBorder="1" applyAlignment="1" applyProtection="1"/>
    <xf numFmtId="172" fontId="169" fillId="0" borderId="66" xfId="0" applyNumberFormat="1" applyFont="1" applyBorder="1" applyAlignment="1" applyProtection="1"/>
    <xf numFmtId="165" fontId="38" fillId="0" borderId="0" xfId="2" applyNumberFormat="1" applyFont="1" applyFill="1" applyProtection="1">
      <protection locked="0"/>
    </xf>
    <xf numFmtId="165" fontId="88" fillId="0" borderId="0" xfId="2" applyNumberFormat="1" applyFont="1" applyFill="1" applyAlignment="1">
      <alignment horizontal="left"/>
    </xf>
    <xf numFmtId="165" fontId="90" fillId="0" borderId="0" xfId="2" applyNumberFormat="1" applyFont="1" applyFill="1" applyAlignment="1">
      <alignment horizontal="left"/>
    </xf>
    <xf numFmtId="0" fontId="67" fillId="0" borderId="0" xfId="2" quotePrefix="1" applyNumberFormat="1" applyFont="1" applyFill="1" applyAlignment="1">
      <alignment horizontal="left"/>
    </xf>
    <xf numFmtId="165" fontId="163" fillId="0" borderId="0" xfId="2" applyNumberFormat="1" applyFont="1" applyFill="1" applyAlignment="1"/>
    <xf numFmtId="0" fontId="39" fillId="0" borderId="0" xfId="2" quotePrefix="1" applyNumberFormat="1" applyFont="1" applyFill="1" applyAlignment="1">
      <alignment horizontal="left"/>
    </xf>
    <xf numFmtId="165" fontId="45" fillId="0" borderId="0" xfId="2" quotePrefix="1" applyNumberFormat="1" applyFont="1" applyFill="1" applyAlignment="1">
      <alignment horizontal="center"/>
    </xf>
    <xf numFmtId="0" fontId="160" fillId="0" borderId="0" xfId="2" applyFont="1" applyFill="1"/>
    <xf numFmtId="165" fontId="45" fillId="0" borderId="0" xfId="2" applyNumberFormat="1" applyFont="1" applyFill="1" applyBorder="1" applyAlignment="1">
      <alignment horizontal="center"/>
    </xf>
    <xf numFmtId="164" fontId="45" fillId="0" borderId="0" xfId="2" applyNumberFormat="1" applyFont="1" applyFill="1" applyBorder="1"/>
    <xf numFmtId="166" fontId="45" fillId="0" borderId="0" xfId="2" applyNumberFormat="1" applyFont="1" applyFill="1" applyBorder="1"/>
    <xf numFmtId="0" fontId="45" fillId="0" borderId="0" xfId="2" applyFont="1" applyFill="1"/>
    <xf numFmtId="170" fontId="40" fillId="0" borderId="0" xfId="2" quotePrefix="1" applyNumberFormat="1" applyFont="1" applyFill="1" applyAlignment="1">
      <alignment horizontal="left"/>
    </xf>
    <xf numFmtId="164" fontId="45" fillId="0" borderId="10" xfId="2" applyNumberFormat="1" applyFont="1" applyFill="1" applyBorder="1"/>
    <xf numFmtId="0" fontId="45" fillId="0" borderId="0" xfId="2" applyFont="1" applyFill="1" applyBorder="1"/>
    <xf numFmtId="164" fontId="45"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5" fillId="0" borderId="0" xfId="0" applyNumberFormat="1" applyFont="1" applyFill="1" applyBorder="1" applyAlignment="1" applyProtection="1"/>
    <xf numFmtId="172" fontId="45" fillId="0" borderId="81" xfId="0" applyNumberFormat="1" applyFont="1" applyFill="1" applyBorder="1"/>
    <xf numFmtId="164" fontId="0" fillId="0" borderId="42" xfId="2" applyNumberFormat="1" applyFont="1" applyFill="1" applyBorder="1"/>
    <xf numFmtId="165" fontId="38" fillId="0" borderId="0" xfId="2" quotePrefix="1" applyNumberFormat="1" applyFont="1" applyFill="1" applyAlignment="1">
      <alignment horizontal="left"/>
    </xf>
    <xf numFmtId="168" fontId="40" fillId="0" borderId="0" xfId="2" applyNumberFormat="1" applyFont="1" applyFill="1" applyBorder="1" applyAlignment="1"/>
    <xf numFmtId="164" fontId="0" fillId="0" borderId="0" xfId="2" applyNumberFormat="1" applyFont="1" applyFill="1"/>
    <xf numFmtId="166" fontId="38" fillId="0" borderId="20" xfId="2" applyNumberFormat="1" applyFont="1" applyFill="1" applyBorder="1" applyAlignment="1"/>
    <xf numFmtId="166" fontId="40" fillId="0" borderId="20" xfId="2" applyNumberFormat="1" applyFont="1" applyFill="1" applyBorder="1" applyAlignment="1"/>
    <xf numFmtId="194" fontId="45" fillId="0" borderId="66" xfId="2" applyNumberFormat="1" applyFont="1" applyFill="1" applyBorder="1" applyAlignment="1"/>
    <xf numFmtId="174" fontId="62" fillId="0" borderId="0" xfId="2" applyNumberFormat="1" applyFont="1" applyFill="1" applyAlignment="1"/>
    <xf numFmtId="170" fontId="67" fillId="0" borderId="20" xfId="2" applyNumberFormat="1" applyFont="1" applyFill="1" applyBorder="1" applyAlignment="1">
      <alignment horizontal="right"/>
    </xf>
    <xf numFmtId="170" fontId="67" fillId="0" borderId="10" xfId="2" quotePrefix="1" applyNumberFormat="1" applyFont="1" applyFill="1" applyBorder="1" applyAlignment="1"/>
    <xf numFmtId="170" fontId="67" fillId="0" borderId="20" xfId="2" applyNumberFormat="1" applyFont="1" applyFill="1" applyBorder="1" applyAlignment="1">
      <alignment horizontal="center"/>
    </xf>
    <xf numFmtId="170" fontId="67"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18" xfId="2" applyNumberFormat="1" applyFont="1" applyFill="1" applyBorder="1" applyAlignment="1"/>
    <xf numFmtId="174" fontId="67" fillId="0" borderId="35" xfId="2" applyNumberFormat="1" applyFont="1" applyFill="1" applyBorder="1" applyAlignment="1"/>
    <xf numFmtId="0" fontId="50" fillId="0" borderId="0" xfId="0" applyNumberFormat="1" applyFont="1" applyFill="1" applyBorder="1" applyAlignment="1" applyProtection="1">
      <alignment horizontal="left"/>
    </xf>
    <xf numFmtId="166" fontId="50" fillId="0" borderId="0" xfId="8" applyNumberFormat="1" applyFont="1" applyAlignment="1">
      <alignment horizontal="right" vertical="top"/>
    </xf>
    <xf numFmtId="7" fontId="45" fillId="0" borderId="0" xfId="25863" applyNumberFormat="1" applyFont="1" applyFill="1" applyBorder="1" applyAlignment="1">
      <alignment horizontal="center"/>
    </xf>
    <xf numFmtId="0" fontId="199" fillId="0" borderId="0" xfId="25863" applyFont="1" applyFill="1" applyBorder="1" applyAlignment="1">
      <alignment horizontal="left"/>
    </xf>
    <xf numFmtId="7" fontId="38" fillId="0" borderId="0" xfId="25863" applyNumberFormat="1" applyFont="1" applyFill="1"/>
    <xf numFmtId="0" fontId="148" fillId="0" borderId="0" xfId="25864" applyFont="1" applyFill="1" applyBorder="1">
      <alignment horizontal="right"/>
    </xf>
    <xf numFmtId="7" fontId="38" fillId="0" borderId="0" xfId="25864" applyNumberFormat="1" applyFont="1" applyFill="1" applyBorder="1">
      <alignment horizontal="right"/>
    </xf>
    <xf numFmtId="0" fontId="38" fillId="0" borderId="0" xfId="25864" applyFont="1" applyFill="1" applyBorder="1">
      <alignment horizontal="right"/>
    </xf>
    <xf numFmtId="44" fontId="38" fillId="0" borderId="0" xfId="25874" applyNumberFormat="1" applyFont="1" applyFill="1" applyBorder="1"/>
    <xf numFmtId="44" fontId="45" fillId="0" borderId="0" xfId="25874" applyNumberFormat="1" applyFont="1" applyFill="1" applyBorder="1"/>
    <xf numFmtId="43" fontId="45"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6" fillId="0" borderId="0" xfId="25863" applyFont="1" applyFill="1" applyBorder="1" applyAlignment="1">
      <alignment horizontal="left"/>
    </xf>
    <xf numFmtId="177" fontId="38" fillId="0" borderId="0" xfId="1776" applyNumberFormat="1" applyBorder="1" applyAlignment="1"/>
    <xf numFmtId="164" fontId="111" fillId="0" borderId="103" xfId="0" applyFont="1" applyFill="1" applyBorder="1" applyAlignment="1">
      <alignment horizontal="left"/>
    </xf>
    <xf numFmtId="4" fontId="111" fillId="0" borderId="0" xfId="0" applyNumberFormat="1" applyFont="1" applyFill="1" applyBorder="1"/>
    <xf numFmtId="43" fontId="111" fillId="0" borderId="103" xfId="0" applyNumberFormat="1" applyFont="1" applyFill="1" applyBorder="1"/>
    <xf numFmtId="168" fontId="38" fillId="0" borderId="0" xfId="2" applyNumberFormat="1" applyFont="1" applyBorder="1" applyAlignment="1" applyProtection="1"/>
    <xf numFmtId="43" fontId="167" fillId="0" borderId="0" xfId="0" applyNumberFormat="1" applyFont="1" applyAlignment="1"/>
    <xf numFmtId="42" fontId="38" fillId="0" borderId="0" xfId="0" quotePrefix="1" applyNumberFormat="1" applyFont="1" applyFill="1" applyBorder="1" applyAlignment="1"/>
    <xf numFmtId="41" fontId="38" fillId="0" borderId="0" xfId="0" quotePrefix="1" applyNumberFormat="1" applyFont="1" applyFill="1" applyBorder="1" applyAlignment="1"/>
    <xf numFmtId="41" fontId="38" fillId="0" borderId="0" xfId="0" quotePrefix="1" applyNumberFormat="1" applyFont="1" applyFill="1" applyBorder="1" applyAlignment="1">
      <alignment horizontal="center"/>
    </xf>
    <xf numFmtId="41" fontId="38" fillId="0" borderId="0" xfId="0" applyNumberFormat="1" applyFont="1" applyFill="1" applyBorder="1" applyAlignment="1">
      <alignment horizontal="center"/>
    </xf>
    <xf numFmtId="41" fontId="45" fillId="0" borderId="107" xfId="739" applyNumberFormat="1" applyFont="1" applyFill="1" applyBorder="1" applyAlignment="1"/>
    <xf numFmtId="164" fontId="62" fillId="0" borderId="0" xfId="0" applyFont="1" applyFill="1"/>
    <xf numFmtId="41" fontId="38" fillId="0" borderId="66" xfId="0" quotePrefix="1" applyNumberFormat="1" applyFont="1" applyFill="1" applyBorder="1" applyAlignment="1">
      <alignment horizontal="center"/>
    </xf>
    <xf numFmtId="170" fontId="45" fillId="0" borderId="10" xfId="0" applyNumberFormat="1" applyFont="1" applyFill="1" applyBorder="1" applyAlignment="1" applyProtection="1">
      <alignment horizontal="center"/>
    </xf>
    <xf numFmtId="170" fontId="45" fillId="0" borderId="18" xfId="0" applyNumberFormat="1" applyFont="1" applyFill="1" applyBorder="1" applyAlignment="1" applyProtection="1"/>
    <xf numFmtId="41" fontId="167" fillId="0" borderId="0" xfId="0" applyNumberFormat="1" applyFont="1" applyFill="1" applyAlignment="1">
      <alignment horizontal="right"/>
    </xf>
    <xf numFmtId="42" fontId="43" fillId="0" borderId="0" xfId="5508" applyNumberFormat="1" applyFont="1" applyFill="1" applyBorder="1"/>
    <xf numFmtId="200" fontId="38" fillId="0" borderId="0" xfId="0" applyNumberFormat="1" applyFont="1" applyFill="1" applyBorder="1" applyAlignment="1" applyProtection="1"/>
    <xf numFmtId="170" fontId="45" fillId="0" borderId="93" xfId="0" applyNumberFormat="1" applyFont="1" applyFill="1" applyBorder="1" applyAlignment="1" applyProtection="1"/>
    <xf numFmtId="165" fontId="45" fillId="0" borderId="21" xfId="0" applyNumberFormat="1" applyFont="1" applyFill="1" applyBorder="1" applyAlignment="1" applyProtection="1"/>
    <xf numFmtId="165" fontId="45" fillId="0" borderId="14" xfId="0" applyNumberFormat="1" applyFont="1" applyFill="1" applyBorder="1" applyAlignment="1" applyProtection="1"/>
    <xf numFmtId="174" fontId="45" fillId="0" borderId="81" xfId="0" applyNumberFormat="1" applyFont="1" applyFill="1" applyBorder="1" applyAlignment="1" applyProtection="1"/>
    <xf numFmtId="174" fontId="45" fillId="0" borderId="0" xfId="0" applyNumberFormat="1" applyFont="1" applyFill="1" applyAlignment="1" applyProtection="1">
      <alignment horizontal="center"/>
    </xf>
    <xf numFmtId="174" fontId="45" fillId="0" borderId="26" xfId="0" applyNumberFormat="1" applyFont="1" applyFill="1" applyBorder="1" applyAlignment="1" applyProtection="1"/>
    <xf numFmtId="174" fontId="45" fillId="0" borderId="93" xfId="0" applyNumberFormat="1" applyFont="1" applyFill="1" applyBorder="1" applyAlignment="1" applyProtection="1"/>
    <xf numFmtId="0" fontId="192" fillId="0" borderId="0" xfId="25863" applyFont="1" applyFill="1" applyBorder="1" applyAlignment="1">
      <alignment horizontal="left"/>
    </xf>
    <xf numFmtId="0" fontId="192" fillId="0" borderId="0" xfId="25863" applyFont="1" applyFill="1" applyAlignment="1">
      <alignment horizontal="left"/>
    </xf>
    <xf numFmtId="0" fontId="39" fillId="0" borderId="0" xfId="25863" quotePrefix="1" applyNumberFormat="1" applyFont="1" applyFill="1" applyAlignment="1">
      <alignment horizontal="left"/>
    </xf>
    <xf numFmtId="0" fontId="148" fillId="0" borderId="0" xfId="25863" applyFont="1" applyFill="1" applyBorder="1" applyAlignment="1">
      <alignment horizontal="left"/>
    </xf>
    <xf numFmtId="0" fontId="45"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9" fillId="0" borderId="0" xfId="25866" applyFont="1" applyFill="1" applyBorder="1" applyAlignment="1">
      <alignment horizontal="left"/>
    </xf>
    <xf numFmtId="0" fontId="38" fillId="0" borderId="0" xfId="25866" applyFont="1" applyFill="1"/>
    <xf numFmtId="44" fontId="45" fillId="0" borderId="0" xfId="25868" applyFont="1" applyFill="1" applyBorder="1"/>
    <xf numFmtId="0" fontId="0" fillId="0" borderId="0" xfId="25866" applyFont="1" applyFill="1"/>
    <xf numFmtId="44" fontId="0" fillId="0" borderId="0" xfId="25866" applyNumberFormat="1" applyFont="1" applyFill="1"/>
    <xf numFmtId="43" fontId="38" fillId="0" borderId="0" xfId="25869" applyNumberFormat="1" applyFont="1" applyFill="1" applyBorder="1"/>
    <xf numFmtId="0" fontId="165" fillId="0" borderId="0" xfId="25866" applyFont="1" applyFill="1"/>
    <xf numFmtId="0" fontId="45" fillId="0" borderId="0" xfId="25871" applyFont="1" applyFill="1"/>
    <xf numFmtId="43" fontId="45" fillId="0" borderId="103" xfId="25868" applyNumberFormat="1" applyFont="1" applyFill="1" applyBorder="1" applyAlignment="1">
      <alignment horizontal="right"/>
    </xf>
    <xf numFmtId="44" fontId="45"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5" fillId="0" borderId="87" xfId="25868" applyNumberFormat="1" applyFont="1" applyFill="1" applyBorder="1"/>
    <xf numFmtId="0" fontId="111" fillId="0" borderId="0" xfId="25863" applyFont="1" applyFill="1" applyBorder="1" applyAlignment="1">
      <alignment horizontal="left"/>
    </xf>
    <xf numFmtId="171" fontId="111" fillId="0" borderId="0" xfId="25863" applyNumberFormat="1" applyFont="1" applyFill="1" applyBorder="1" applyAlignment="1">
      <alignment horizontal="left"/>
    </xf>
    <xf numFmtId="0" fontId="203" fillId="0" borderId="0" xfId="25863" applyFont="1" applyFill="1" applyBorder="1" applyAlignment="1">
      <alignment horizontal="left" vertical="top"/>
    </xf>
    <xf numFmtId="43" fontId="111" fillId="0" borderId="0" xfId="25863" applyNumberFormat="1" applyFont="1" applyFill="1" applyBorder="1" applyAlignment="1">
      <alignment horizontal="left"/>
    </xf>
    <xf numFmtId="44" fontId="43"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2"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3" fillId="0" borderId="0" xfId="25863" applyNumberFormat="1" applyFont="1" applyFill="1"/>
    <xf numFmtId="43" fontId="36" fillId="0" borderId="0" xfId="25863" applyNumberFormat="1" applyFont="1" applyFill="1" applyBorder="1" applyAlignment="1">
      <alignment horizontal="left"/>
    </xf>
    <xf numFmtId="43" fontId="191" fillId="0" borderId="0" xfId="25863" applyNumberFormat="1" applyFill="1"/>
    <xf numFmtId="44" fontId="36" fillId="0" borderId="0" xfId="25863" applyNumberFormat="1" applyFont="1" applyFill="1" applyBorder="1" applyAlignment="1">
      <alignment horizontal="left"/>
    </xf>
    <xf numFmtId="44" fontId="191" fillId="0" borderId="0" xfId="25863" applyNumberFormat="1" applyFill="1"/>
    <xf numFmtId="0" fontId="194" fillId="0" borderId="0" xfId="25863" quotePrefix="1" applyNumberFormat="1" applyFont="1" applyFill="1" applyAlignment="1">
      <alignment horizontal="left"/>
    </xf>
    <xf numFmtId="0" fontId="49" fillId="0" borderId="0" xfId="25863" applyFont="1" applyFill="1" applyBorder="1" applyAlignment="1">
      <alignment horizontal="left"/>
    </xf>
    <xf numFmtId="0" fontId="200" fillId="0" borderId="0" xfId="25863" applyFont="1" applyFill="1" applyBorder="1" applyAlignment="1">
      <alignment horizontal="center"/>
    </xf>
    <xf numFmtId="43" fontId="0" fillId="0" borderId="0" xfId="25864" applyNumberFormat="1" applyFont="1" applyFill="1" applyBorder="1">
      <alignment horizontal="right"/>
    </xf>
    <xf numFmtId="0" fontId="199" fillId="0" borderId="0" xfId="25863" applyFont="1" applyFill="1" applyBorder="1"/>
    <xf numFmtId="44" fontId="38" fillId="0" borderId="0" xfId="0" applyNumberFormat="1" applyFont="1" applyFill="1"/>
    <xf numFmtId="0" fontId="167" fillId="0" borderId="0" xfId="25863" applyFont="1" applyFill="1" applyBorder="1" applyAlignment="1">
      <alignment horizontal="left"/>
    </xf>
    <xf numFmtId="170" fontId="40" fillId="0" borderId="10" xfId="2" applyNumberFormat="1" applyFont="1" applyFill="1" applyBorder="1" applyAlignment="1"/>
    <xf numFmtId="170" fontId="45" fillId="0" borderId="10" xfId="1" applyNumberFormat="1" applyFont="1" applyFill="1" applyBorder="1" applyAlignment="1"/>
    <xf numFmtId="0" fontId="40" fillId="0" borderId="0" xfId="2" applyFont="1" applyFill="1" applyBorder="1" applyAlignment="1"/>
    <xf numFmtId="0" fontId="45" fillId="0" borderId="10" xfId="2" quotePrefix="1" applyNumberFormat="1" applyFont="1" applyFill="1" applyBorder="1" applyAlignment="1">
      <alignment horizontal="center"/>
    </xf>
    <xf numFmtId="170" fontId="40" fillId="0" borderId="0" xfId="0" quotePrefix="1" applyNumberFormat="1" applyFont="1" applyFill="1" applyBorder="1" applyAlignment="1" applyProtection="1">
      <alignment horizontal="center"/>
    </xf>
    <xf numFmtId="165" fontId="48" fillId="0" borderId="0" xfId="0" applyNumberFormat="1" applyFont="1" applyFill="1" applyBorder="1" applyAlignment="1" applyProtection="1"/>
    <xf numFmtId="165" fontId="46" fillId="0" borderId="0" xfId="0" applyNumberFormat="1" applyFont="1" applyFill="1" applyBorder="1" applyAlignment="1" applyProtection="1"/>
    <xf numFmtId="165" fontId="145" fillId="0" borderId="0" xfId="0" applyNumberFormat="1" applyFont="1" applyFill="1" applyBorder="1" applyAlignment="1" applyProtection="1"/>
    <xf numFmtId="165" fontId="47" fillId="0" borderId="0" xfId="0" applyNumberFormat="1" applyFont="1" applyFill="1" applyBorder="1" applyAlignment="1" applyProtection="1"/>
    <xf numFmtId="170" fontId="38" fillId="0" borderId="20" xfId="0" quotePrefix="1" applyNumberFormat="1" applyFont="1" applyFill="1" applyBorder="1" applyAlignment="1" applyProtection="1">
      <alignment horizontal="center"/>
    </xf>
    <xf numFmtId="170" fontId="60" fillId="0" borderId="66" xfId="2" applyNumberFormat="1" applyFont="1" applyFill="1" applyBorder="1" applyAlignment="1"/>
    <xf numFmtId="170" fontId="40" fillId="0" borderId="66" xfId="2" applyNumberFormat="1" applyFont="1" applyFill="1" applyBorder="1" applyAlignment="1"/>
    <xf numFmtId="170" fontId="60" fillId="0" borderId="20" xfId="2" applyNumberFormat="1" applyFont="1" applyFill="1" applyBorder="1" applyAlignment="1" applyProtection="1"/>
    <xf numFmtId="170" fontId="45" fillId="0" borderId="95" xfId="0" quotePrefix="1" applyNumberFormat="1" applyFont="1" applyFill="1" applyBorder="1" applyAlignment="1" applyProtection="1"/>
    <xf numFmtId="166" fontId="60" fillId="0" borderId="0" xfId="2" applyNumberFormat="1" applyFont="1" applyFill="1" applyAlignment="1" applyProtection="1">
      <alignment horizontal="right"/>
    </xf>
    <xf numFmtId="170" fontId="137"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49" fillId="0" borderId="0" xfId="2" applyNumberFormat="1" applyFont="1" applyFill="1" applyAlignment="1" applyProtection="1"/>
    <xf numFmtId="170" fontId="49" fillId="0" borderId="0" xfId="2" applyNumberFormat="1" applyFont="1" applyFill="1" applyAlignment="1">
      <alignment horizontal="right"/>
    </xf>
    <xf numFmtId="43" fontId="49" fillId="0" borderId="0" xfId="1767" applyNumberFormat="1" applyFont="1" applyFill="1" applyAlignment="1" applyProtection="1">
      <alignment horizontal="right"/>
    </xf>
    <xf numFmtId="43" fontId="165" fillId="0" borderId="0" xfId="25866" applyNumberFormat="1" applyFont="1" applyFill="1"/>
    <xf numFmtId="42" fontId="43" fillId="0" borderId="0" xfId="0" applyNumberFormat="1" applyFont="1" applyFill="1"/>
    <xf numFmtId="170" fontId="38" fillId="0" borderId="15" xfId="4" applyNumberFormat="1" applyFont="1" applyFill="1" applyBorder="1" applyProtection="1"/>
    <xf numFmtId="170" fontId="38" fillId="0" borderId="0" xfId="4" applyNumberFormat="1" applyFont="1" applyFill="1" applyBorder="1" applyProtection="1"/>
    <xf numFmtId="43" fontId="38"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9" fillId="0" borderId="0" xfId="25872" applyNumberFormat="1" applyFont="1" applyFill="1" applyBorder="1" applyAlignment="1">
      <alignment horizontal="left"/>
    </xf>
    <xf numFmtId="37" fontId="49" fillId="0" borderId="0" xfId="25872" applyNumberFormat="1" applyFont="1" applyFill="1" applyBorder="1"/>
    <xf numFmtId="43" fontId="204" fillId="0" borderId="0" xfId="25863" applyNumberFormat="1" applyFont="1" applyFill="1"/>
    <xf numFmtId="49" fontId="43" fillId="0" borderId="0" xfId="0" applyNumberFormat="1" applyFont="1" applyFill="1" applyAlignment="1" applyProtection="1">
      <alignment horizontal="left" vertical="top"/>
    </xf>
    <xf numFmtId="166" fontId="38" fillId="0" borderId="0" xfId="8" applyNumberFormat="1" applyFont="1"/>
    <xf numFmtId="169" fontId="38" fillId="0" borderId="0" xfId="8" applyNumberFormat="1" applyFont="1"/>
    <xf numFmtId="172" fontId="64" fillId="0" borderId="0" xfId="0" applyNumberFormat="1" applyFont="1" applyFill="1" applyAlignment="1" applyProtection="1"/>
    <xf numFmtId="170" fontId="38" fillId="0" borderId="0" xfId="0" quotePrefix="1" applyNumberFormat="1" applyFont="1" applyAlignment="1">
      <alignment horizontal="right"/>
    </xf>
    <xf numFmtId="170" fontId="60" fillId="0" borderId="46" xfId="2" applyNumberFormat="1" applyFont="1" applyFill="1" applyBorder="1" applyAlignment="1"/>
    <xf numFmtId="165" fontId="38" fillId="0" borderId="0" xfId="0" applyNumberFormat="1" applyFont="1" applyFill="1" applyBorder="1" applyAlignment="1"/>
    <xf numFmtId="166" fontId="38" fillId="0" borderId="0" xfId="0" applyNumberFormat="1" applyFont="1" applyFill="1" applyBorder="1" applyAlignment="1">
      <alignment horizontal="left"/>
    </xf>
    <xf numFmtId="0" fontId="38" fillId="0" borderId="0" xfId="2" applyFont="1" applyFill="1" applyAlignment="1">
      <alignment horizontal="left"/>
    </xf>
    <xf numFmtId="0" fontId="44" fillId="0" borderId="66" xfId="9967" applyNumberFormat="1" applyFont="1" applyFill="1" applyBorder="1" applyAlignment="1">
      <alignment horizontal="center"/>
    </xf>
    <xf numFmtId="177" fontId="62" fillId="0" borderId="0" xfId="740" applyNumberFormat="1" applyFont="1" applyFill="1" applyAlignment="1"/>
    <xf numFmtId="0" fontId="38" fillId="0" borderId="0" xfId="1767" applyFont="1" applyProtection="1"/>
    <xf numFmtId="0" fontId="38" fillId="0" borderId="0" xfId="1767" applyFont="1" applyFill="1" applyProtection="1"/>
    <xf numFmtId="0" fontId="38" fillId="0" borderId="0" xfId="1028" quotePrefix="1" applyAlignment="1">
      <alignment horizontal="center"/>
    </xf>
    <xf numFmtId="4" fontId="38" fillId="0" borderId="0" xfId="1028" applyNumberFormat="1"/>
    <xf numFmtId="4" fontId="38" fillId="0" borderId="0" xfId="1028" applyNumberFormat="1" applyAlignment="1">
      <alignment horizontal="left"/>
    </xf>
    <xf numFmtId="0" fontId="38" fillId="0" borderId="0" xfId="1028" applyFont="1" applyAlignment="1" applyProtection="1">
      <alignment horizontal="left"/>
    </xf>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70" fontId="45" fillId="0" borderId="10" xfId="2" applyNumberFormat="1" applyFont="1" applyFill="1" applyBorder="1" applyAlignment="1" applyProtection="1">
      <alignment horizontal="right"/>
    </xf>
    <xf numFmtId="164" fontId="45" fillId="0" borderId="16" xfId="0" applyNumberFormat="1" applyFont="1" applyBorder="1" applyProtection="1">
      <protection locked="0"/>
    </xf>
    <xf numFmtId="172" fontId="169" fillId="0" borderId="0" xfId="1940" applyNumberFormat="1" applyFont="1" applyAlignment="1"/>
    <xf numFmtId="172" fontId="169" fillId="0" borderId="0" xfId="0" applyNumberFormat="1" applyFont="1" applyBorder="1" applyAlignment="1" applyProtection="1"/>
    <xf numFmtId="181" fontId="98" fillId="0" borderId="0" xfId="740" applyNumberFormat="1" applyFont="1" applyFill="1" applyBorder="1"/>
    <xf numFmtId="0" fontId="67" fillId="0" borderId="0" xfId="25863" quotePrefix="1" applyNumberFormat="1" applyFont="1" applyFill="1" applyAlignment="1">
      <alignment horizontal="left"/>
    </xf>
    <xf numFmtId="172" fontId="38" fillId="0" borderId="10" xfId="0" applyNumberFormat="1" applyFont="1" applyBorder="1" applyAlignment="1" applyProtection="1"/>
    <xf numFmtId="172" fontId="67" fillId="0" borderId="0" xfId="1940" applyNumberFormat="1" applyFont="1" applyAlignment="1"/>
    <xf numFmtId="200" fontId="64" fillId="0" borderId="0" xfId="0" applyNumberFormat="1" applyFont="1" applyFill="1" applyAlignment="1" applyProtection="1"/>
    <xf numFmtId="201" fontId="38" fillId="0" borderId="0" xfId="0" applyNumberFormat="1" applyFont="1" applyAlignment="1" applyProtection="1"/>
    <xf numFmtId="0" fontId="62" fillId="0" borderId="0" xfId="1776" applyNumberFormat="1" applyFont="1" applyFill="1" applyBorder="1" applyAlignment="1">
      <alignment horizontal="left"/>
    </xf>
    <xf numFmtId="0" fontId="45" fillId="0" borderId="0" xfId="1776" applyNumberFormat="1" applyFont="1" applyFill="1" applyBorder="1" applyAlignment="1">
      <alignment horizontal="center"/>
    </xf>
    <xf numFmtId="170" fontId="38" fillId="0" borderId="0" xfId="2" applyNumberFormat="1" applyAlignment="1">
      <alignment horizontal="center"/>
    </xf>
    <xf numFmtId="170" fontId="38" fillId="0" borderId="0" xfId="2" applyNumberFormat="1" applyAlignment="1">
      <alignment horizontal="right"/>
    </xf>
    <xf numFmtId="170" fontId="38" fillId="0" borderId="0" xfId="2" quotePrefix="1" applyNumberFormat="1"/>
    <xf numFmtId="170" fontId="38" fillId="0" borderId="0" xfId="2" applyNumberFormat="1"/>
    <xf numFmtId="170" fontId="38" fillId="0" borderId="10" xfId="2" applyNumberFormat="1" applyBorder="1"/>
    <xf numFmtId="170" fontId="45" fillId="0" borderId="0" xfId="2" quotePrefix="1" applyNumberFormat="1" applyFont="1" applyFill="1" applyBorder="1" applyAlignment="1"/>
    <xf numFmtId="177" fontId="49" fillId="0" borderId="0" xfId="1767" applyNumberFormat="1" applyFont="1" applyFill="1" applyAlignment="1">
      <alignment horizontal="left"/>
    </xf>
    <xf numFmtId="177" fontId="49" fillId="0" borderId="0" xfId="740" applyNumberFormat="1" applyFont="1" applyFill="1" applyAlignment="1">
      <alignment horizontal="center"/>
    </xf>
    <xf numFmtId="172" fontId="64" fillId="0" borderId="0" xfId="0" applyNumberFormat="1" applyFont="1" applyAlignment="1" applyProtection="1"/>
    <xf numFmtId="166" fontId="50" fillId="0" borderId="0" xfId="8" quotePrefix="1" applyNumberFormat="1" applyFont="1" applyFill="1" applyAlignment="1"/>
    <xf numFmtId="43" fontId="38" fillId="0" borderId="0" xfId="25863" applyNumberFormat="1" applyFont="1" applyFill="1" applyBorder="1" applyAlignment="1">
      <alignment horizontal="right" wrapText="1"/>
    </xf>
    <xf numFmtId="43" fontId="49" fillId="0" borderId="0" xfId="25863" applyNumberFormat="1" applyFont="1" applyFill="1" applyBorder="1" applyAlignment="1">
      <alignment horizontal="left"/>
    </xf>
    <xf numFmtId="43" fontId="49" fillId="0" borderId="0" xfId="25863" applyNumberFormat="1" applyFont="1" applyFill="1" applyBorder="1" applyAlignment="1">
      <alignment horizontal="right"/>
    </xf>
    <xf numFmtId="43" fontId="49" fillId="0" borderId="0" xfId="0" applyNumberFormat="1" applyFont="1" applyFill="1" applyAlignment="1"/>
    <xf numFmtId="43" fontId="49" fillId="0" borderId="0" xfId="25863" applyNumberFormat="1" applyFont="1" applyFill="1"/>
    <xf numFmtId="43" fontId="49" fillId="0" borderId="0" xfId="25863" applyNumberFormat="1" applyFont="1" applyFill="1" applyAlignment="1">
      <alignment wrapText="1"/>
    </xf>
    <xf numFmtId="44" fontId="49" fillId="0" borderId="0" xfId="25872" applyNumberFormat="1" applyFont="1" applyFill="1" applyBorder="1" applyAlignment="1">
      <alignment horizontal="left"/>
    </xf>
    <xf numFmtId="44" fontId="38" fillId="0" borderId="0" xfId="25872" applyNumberFormat="1" applyFont="1" applyFill="1" applyBorder="1"/>
    <xf numFmtId="43" fontId="38" fillId="0" borderId="0" xfId="25863" applyNumberFormat="1" applyFont="1" applyFill="1" applyBorder="1" applyAlignment="1"/>
    <xf numFmtId="43" fontId="38" fillId="0" borderId="0" xfId="25863" applyNumberFormat="1" applyFont="1" applyFill="1" applyBorder="1" applyAlignment="1">
      <alignment horizontal="left"/>
    </xf>
    <xf numFmtId="0" fontId="50" fillId="0" borderId="0" xfId="8" applyNumberFormat="1" applyFont="1" applyFill="1" applyAlignment="1">
      <alignment horizontal="left" vertical="top"/>
    </xf>
    <xf numFmtId="0" fontId="50" fillId="0" borderId="0" xfId="8" applyFont="1" applyFill="1" applyAlignment="1">
      <alignment horizontal="left" vertical="top"/>
    </xf>
    <xf numFmtId="164" fontId="50" fillId="0" borderId="0" xfId="8" applyNumberFormat="1" applyFont="1" applyFill="1" applyAlignment="1">
      <alignment horizontal="left"/>
    </xf>
    <xf numFmtId="164" fontId="50" fillId="0" borderId="0" xfId="0" applyFont="1" applyFill="1"/>
    <xf numFmtId="0" fontId="50" fillId="0" borderId="0" xfId="8" applyNumberFormat="1" applyFont="1" applyAlignment="1">
      <alignment horizontal="left"/>
    </xf>
    <xf numFmtId="165" fontId="38" fillId="0" borderId="0" xfId="2" applyNumberFormat="1"/>
    <xf numFmtId="0" fontId="38" fillId="0" borderId="0" xfId="5508" applyFont="1"/>
    <xf numFmtId="166" fontId="45" fillId="0" borderId="0" xfId="0" applyNumberFormat="1" applyFont="1" applyFill="1" applyBorder="1" applyAlignment="1" applyProtection="1">
      <alignment horizontal="center"/>
    </xf>
    <xf numFmtId="42" fontId="148" fillId="0" borderId="81" xfId="840" applyNumberFormat="1" applyFont="1" applyBorder="1" applyAlignment="1"/>
    <xf numFmtId="42" fontId="49" fillId="0" borderId="0" xfId="840" applyNumberFormat="1" applyFont="1" applyAlignment="1"/>
    <xf numFmtId="42" fontId="148" fillId="0" borderId="0" xfId="840" applyNumberFormat="1" applyFont="1" applyBorder="1" applyAlignment="1"/>
    <xf numFmtId="37" fontId="148" fillId="0" borderId="0" xfId="840" applyNumberFormat="1" applyFont="1" applyFill="1" applyAlignment="1"/>
    <xf numFmtId="42" fontId="148" fillId="0" borderId="0" xfId="840" applyNumberFormat="1" applyFont="1" applyFill="1" applyAlignment="1"/>
    <xf numFmtId="177" fontId="38" fillId="0" borderId="0" xfId="1767" applyNumberFormat="1" applyFont="1" applyFill="1" applyBorder="1" applyAlignment="1">
      <alignment horizontal="left"/>
    </xf>
    <xf numFmtId="177" fontId="0" fillId="0" borderId="0" xfId="0" applyNumberFormat="1" applyFill="1"/>
    <xf numFmtId="177" fontId="38" fillId="0" borderId="0" xfId="740" quotePrefix="1" applyNumberFormat="1" applyFont="1" applyFill="1" applyAlignment="1">
      <alignment horizontal="center"/>
    </xf>
    <xf numFmtId="177" fontId="49" fillId="0" borderId="0" xfId="740" applyNumberFormat="1" applyFont="1" applyFill="1" applyAlignment="1">
      <alignment horizontal="right"/>
    </xf>
    <xf numFmtId="0" fontId="50" fillId="0" borderId="0" xfId="8" quotePrefix="1" applyNumberFormat="1" applyFont="1" applyFill="1" applyAlignment="1"/>
    <xf numFmtId="42" fontId="43" fillId="0" borderId="0" xfId="0" applyNumberFormat="1" applyFont="1" applyFill="1" applyAlignment="1">
      <alignment horizontal="right"/>
    </xf>
    <xf numFmtId="180" fontId="98" fillId="0" borderId="0" xfId="740" applyNumberFormat="1" applyFont="1" applyFill="1"/>
    <xf numFmtId="42" fontId="148" fillId="0" borderId="81" xfId="840" applyNumberFormat="1" applyFont="1" applyFill="1" applyBorder="1" applyAlignment="1"/>
    <xf numFmtId="202" fontId="38" fillId="0" borderId="0" xfId="0" quotePrefix="1" applyNumberFormat="1" applyFont="1" applyFill="1" applyAlignment="1" applyProtection="1">
      <alignment horizontal="right"/>
    </xf>
    <xf numFmtId="172" fontId="62" fillId="0" borderId="10" xfId="2" applyNumberFormat="1" applyFont="1" applyBorder="1" applyAlignment="1" applyProtection="1"/>
    <xf numFmtId="183" fontId="38" fillId="0" borderId="0" xfId="0" applyNumberFormat="1" applyFont="1" applyBorder="1" applyAlignment="1" applyProtection="1"/>
    <xf numFmtId="164" fontId="0" fillId="0" borderId="0" xfId="0" applyAlignment="1">
      <alignment horizontal="left"/>
    </xf>
    <xf numFmtId="164" fontId="38" fillId="0" borderId="0" xfId="5458" applyNumberFormat="1" applyFont="1" applyFill="1" applyAlignment="1">
      <alignment horizontal="left"/>
    </xf>
    <xf numFmtId="167" fontId="40" fillId="0" borderId="13" xfId="0" applyNumberFormat="1" applyFont="1" applyFill="1" applyBorder="1" applyAlignment="1" applyProtection="1"/>
    <xf numFmtId="41" fontId="49" fillId="0" borderId="0" xfId="11" applyNumberFormat="1" applyFont="1" applyFill="1" applyAlignment="1"/>
    <xf numFmtId="43" fontId="205" fillId="0" borderId="0" xfId="25863" applyNumberFormat="1" applyFont="1" applyFill="1" applyBorder="1" applyAlignment="1">
      <alignment horizontal="left"/>
    </xf>
    <xf numFmtId="43" fontId="62" fillId="0" borderId="0" xfId="25863" applyNumberFormat="1" applyFont="1" applyFill="1"/>
    <xf numFmtId="43" fontId="205" fillId="0" borderId="0" xfId="25863" applyNumberFormat="1" applyFont="1" applyFill="1" applyAlignment="1">
      <alignment horizontal="left" vertical="top"/>
    </xf>
    <xf numFmtId="170" fontId="45" fillId="0" borderId="16"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170" fontId="38" fillId="0" borderId="0" xfId="0" applyNumberFormat="1" applyFont="1" applyFill="1" applyBorder="1" applyAlignment="1" applyProtection="1">
      <alignment horizontal="center"/>
    </xf>
    <xf numFmtId="170" fontId="45" fillId="0" borderId="16" xfId="0" applyNumberFormat="1" applyFont="1" applyFill="1" applyBorder="1" applyAlignment="1" applyProtection="1">
      <alignment horizontal="center"/>
    </xf>
    <xf numFmtId="170" fontId="41" fillId="0" borderId="0" xfId="0" applyNumberFormat="1" applyFont="1" applyFill="1" applyAlignment="1" applyProtection="1"/>
    <xf numFmtId="170" fontId="38" fillId="0" borderId="10" xfId="0" applyNumberFormat="1" applyFont="1" applyFill="1" applyBorder="1" applyAlignment="1" applyProtection="1"/>
    <xf numFmtId="170" fontId="45" fillId="0" borderId="10" xfId="0" applyNumberFormat="1" applyFont="1" applyFill="1" applyBorder="1" applyAlignment="1" applyProtection="1">
      <alignment horizontal="right"/>
    </xf>
    <xf numFmtId="170" fontId="45" fillId="0" borderId="0" xfId="0" quotePrefix="1" applyNumberFormat="1" applyFont="1" applyFill="1" applyBorder="1" applyAlignment="1" applyProtection="1">
      <alignment horizontal="right"/>
    </xf>
    <xf numFmtId="170" fontId="96" fillId="0" borderId="0" xfId="2" applyNumberFormat="1" applyFont="1" applyFill="1" applyAlignment="1"/>
    <xf numFmtId="0" fontId="50" fillId="0" borderId="0" xfId="8" applyFont="1" applyFill="1" applyAlignment="1"/>
    <xf numFmtId="0" fontId="50" fillId="0" borderId="0" xfId="0" applyNumberFormat="1" applyFont="1"/>
    <xf numFmtId="44" fontId="38" fillId="0" borderId="0" xfId="25866" applyNumberFormat="1" applyFont="1" applyFill="1"/>
    <xf numFmtId="166" fontId="50" fillId="0" borderId="0" xfId="8" applyNumberFormat="1" applyFont="1" applyFill="1" applyAlignment="1">
      <alignment horizontal="right"/>
    </xf>
    <xf numFmtId="169" fontId="98" fillId="0" borderId="0" xfId="8" applyNumberFormat="1" applyFont="1"/>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66" fontId="65" fillId="0" borderId="0" xfId="2" quotePrefix="1" applyNumberFormat="1" applyFont="1" applyFill="1" applyAlignment="1">
      <alignment horizontal="left"/>
    </xf>
    <xf numFmtId="170" fontId="60" fillId="0" borderId="0" xfId="2" applyNumberFormat="1" applyFont="1"/>
    <xf numFmtId="180" fontId="62" fillId="0" borderId="66" xfId="1767" applyNumberFormat="1" applyFont="1" applyFill="1" applyBorder="1" applyAlignment="1">
      <alignment horizontal="left"/>
    </xf>
    <xf numFmtId="0" fontId="183" fillId="0" borderId="0" xfId="9967" applyFill="1"/>
    <xf numFmtId="186" fontId="44" fillId="0" borderId="66" xfId="9967" applyNumberFormat="1" applyFont="1" applyFill="1" applyBorder="1" applyAlignment="1">
      <alignment horizontal="center"/>
    </xf>
    <xf numFmtId="4" fontId="38" fillId="0" borderId="0" xfId="1028" applyNumberFormat="1" applyFont="1" applyFill="1" applyBorder="1" applyAlignment="1" applyProtection="1">
      <alignment horizontal="centerContinuous"/>
    </xf>
    <xf numFmtId="43" fontId="38" fillId="0" borderId="0" xfId="9049" applyFont="1" applyFill="1" applyAlignment="1" applyProtection="1">
      <alignment horizontal="right"/>
    </xf>
    <xf numFmtId="1" fontId="38" fillId="0" borderId="0" xfId="1028" quotePrefix="1" applyNumberFormat="1" applyFont="1" applyFill="1" applyBorder="1" applyAlignment="1" applyProtection="1">
      <alignment horizontal="center"/>
    </xf>
    <xf numFmtId="4" fontId="38" fillId="0" borderId="0" xfId="1028" quotePrefix="1" applyNumberFormat="1" applyFont="1" applyFill="1" applyBorder="1" applyAlignment="1" applyProtection="1">
      <alignment horizontal="center"/>
    </xf>
    <xf numFmtId="203" fontId="62" fillId="0" borderId="0" xfId="2" quotePrefix="1" applyNumberFormat="1" applyFont="1" applyFill="1" applyBorder="1" applyAlignment="1">
      <alignment horizontal="right"/>
    </xf>
    <xf numFmtId="170" fontId="148" fillId="0" borderId="0" xfId="2" applyNumberFormat="1" applyFont="1" applyFill="1" applyAlignment="1"/>
    <xf numFmtId="7" fontId="43" fillId="0" borderId="0" xfId="25863" applyNumberFormat="1" applyFont="1" applyFill="1"/>
    <xf numFmtId="43" fontId="38" fillId="0" borderId="0" xfId="0" applyNumberFormat="1" applyFont="1" applyFill="1" applyAlignment="1">
      <alignment horizontal="right" wrapText="1"/>
    </xf>
    <xf numFmtId="43" fontId="49" fillId="0" borderId="0" xfId="25872" applyNumberFormat="1" applyFont="1" applyFill="1" applyBorder="1" applyAlignment="1">
      <alignment horizontal="left"/>
    </xf>
    <xf numFmtId="43" fontId="49" fillId="0" borderId="0" xfId="25876" applyNumberFormat="1" applyFont="1" applyFill="1" applyAlignment="1">
      <alignment horizontal="right"/>
    </xf>
    <xf numFmtId="43" fontId="49" fillId="0" borderId="0" xfId="25876" applyNumberFormat="1" applyFont="1" applyFill="1" applyBorder="1" applyAlignment="1"/>
    <xf numFmtId="43" fontId="49" fillId="0" borderId="0" xfId="25872" applyNumberFormat="1" applyFont="1" applyFill="1" applyBorder="1"/>
    <xf numFmtId="43" fontId="49" fillId="0" borderId="0" xfId="4579" applyNumberFormat="1" applyFont="1" applyFill="1" applyAlignment="1">
      <alignment wrapText="1"/>
    </xf>
    <xf numFmtId="43" fontId="38" fillId="0" borderId="0" xfId="25872" applyNumberFormat="1" applyFont="1" applyFill="1" applyBorder="1" applyAlignment="1"/>
    <xf numFmtId="43" fontId="38" fillId="0" borderId="0" xfId="25873" applyNumberFormat="1" applyFont="1" applyFill="1" applyBorder="1" applyAlignment="1">
      <alignment horizontal="left"/>
    </xf>
    <xf numFmtId="44" fontId="38" fillId="0" borderId="0" xfId="25873" applyNumberFormat="1" applyFont="1" applyFill="1" applyBorder="1" applyAlignment="1">
      <alignment horizontal="left"/>
    </xf>
    <xf numFmtId="43" fontId="38" fillId="0" borderId="0" xfId="25873" applyNumberFormat="1" applyFont="1" applyFill="1" applyBorder="1"/>
    <xf numFmtId="200" fontId="38" fillId="0" borderId="0" xfId="0" applyNumberFormat="1" applyFont="1" applyBorder="1" applyAlignment="1" applyProtection="1"/>
    <xf numFmtId="174" fontId="38" fillId="0" borderId="0" xfId="1049" applyNumberFormat="1" applyAlignment="1">
      <alignment horizontal="center"/>
    </xf>
    <xf numFmtId="170" fontId="38" fillId="0" borderId="0" xfId="17" applyNumberFormat="1" applyProtection="1">
      <protection locked="0"/>
    </xf>
    <xf numFmtId="0" fontId="40" fillId="0" borderId="108" xfId="4" applyFont="1" applyFill="1" applyBorder="1" applyProtection="1"/>
    <xf numFmtId="166" fontId="40" fillId="0" borderId="108" xfId="4" applyNumberFormat="1" applyFont="1" applyFill="1" applyBorder="1" applyProtection="1"/>
    <xf numFmtId="0" fontId="38" fillId="0" borderId="108" xfId="4" applyFont="1" applyFill="1" applyBorder="1" applyProtection="1"/>
    <xf numFmtId="174" fontId="40" fillId="0" borderId="0" xfId="0" applyNumberFormat="1" applyFont="1" applyFill="1" applyAlignment="1" applyProtection="1">
      <alignment horizontal="right"/>
    </xf>
    <xf numFmtId="0" fontId="50" fillId="0" borderId="0" xfId="0" applyNumberFormat="1" applyFont="1" applyFill="1" applyBorder="1" applyAlignment="1" applyProtection="1">
      <alignment horizontal="left" vertical="top"/>
    </xf>
    <xf numFmtId="174" fontId="38" fillId="0" borderId="0" xfId="1" applyNumberFormat="1" applyFont="1" applyFill="1" applyAlignment="1" applyProtection="1"/>
    <xf numFmtId="174" fontId="0" fillId="0" borderId="0" xfId="0" applyNumberFormat="1" applyFont="1" applyFill="1" applyAlignment="1" applyProtection="1"/>
    <xf numFmtId="174" fontId="38" fillId="0" borderId="0" xfId="0" applyNumberFormat="1" applyFont="1" applyFill="1" applyAlignment="1" applyProtection="1">
      <alignment horizontal="right"/>
    </xf>
    <xf numFmtId="174" fontId="40" fillId="0" borderId="0" xfId="0" applyNumberFormat="1" applyFont="1" applyFill="1" applyBorder="1" applyAlignment="1" applyProtection="1"/>
    <xf numFmtId="174" fontId="40"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0" fillId="0" borderId="18" xfId="0" applyNumberFormat="1" applyFont="1" applyFill="1" applyBorder="1" applyAlignment="1" applyProtection="1">
      <alignment horizontal="center"/>
    </xf>
    <xf numFmtId="170" fontId="40" fillId="0" borderId="10" xfId="0" applyNumberFormat="1" applyFont="1" applyFill="1" applyBorder="1" applyAlignment="1" applyProtection="1">
      <alignment horizontal="right"/>
    </xf>
    <xf numFmtId="170" fontId="45" fillId="0" borderId="18" xfId="0" applyNumberFormat="1" applyFont="1" applyFill="1" applyBorder="1" applyAlignment="1" applyProtection="1">
      <alignment horizontal="center"/>
    </xf>
    <xf numFmtId="170" fontId="40" fillId="0" borderId="28" xfId="0" applyNumberFormat="1" applyFont="1" applyFill="1" applyBorder="1" applyAlignment="1" applyProtection="1"/>
    <xf numFmtId="166" fontId="40" fillId="0" borderId="18" xfId="0" applyNumberFormat="1" applyFont="1" applyFill="1" applyBorder="1" applyAlignment="1" applyProtection="1"/>
    <xf numFmtId="0" fontId="45" fillId="0" borderId="0" xfId="0" applyNumberFormat="1" applyFont="1" applyFill="1" applyAlignment="1" applyProtection="1">
      <alignment horizontal="center"/>
    </xf>
    <xf numFmtId="174" fontId="38" fillId="0" borderId="0" xfId="17" applyNumberFormat="1" applyAlignment="1">
      <alignment horizontal="right"/>
    </xf>
    <xf numFmtId="189" fontId="0" fillId="0" borderId="0" xfId="17" applyNumberFormat="1" applyFont="1" applyAlignment="1">
      <alignment horizontal="right"/>
    </xf>
    <xf numFmtId="180" fontId="38" fillId="0" borderId="0" xfId="17" applyNumberFormat="1" applyAlignment="1">
      <alignment horizontal="right"/>
    </xf>
    <xf numFmtId="174" fontId="45" fillId="0" borderId="87" xfId="17" applyNumberFormat="1" applyFont="1" applyBorder="1"/>
    <xf numFmtId="0" fontId="38" fillId="0" borderId="0" xfId="2" applyFont="1" applyAlignment="1"/>
    <xf numFmtId="0" fontId="0" fillId="0" borderId="0" xfId="2" applyFont="1" applyAlignment="1"/>
    <xf numFmtId="0" fontId="67" fillId="33" borderId="0" xfId="2" applyNumberFormat="1" applyFont="1" applyFill="1" applyAlignment="1">
      <alignment horizontal="left" vertical="center"/>
    </xf>
    <xf numFmtId="37" fontId="43" fillId="33" borderId="0" xfId="2" applyNumberFormat="1" applyFont="1" applyFill="1" applyAlignment="1">
      <alignment vertical="center"/>
    </xf>
    <xf numFmtId="37" fontId="43" fillId="0" borderId="0" xfId="2" applyNumberFormat="1" applyFont="1" applyAlignment="1">
      <alignment vertical="center"/>
    </xf>
    <xf numFmtId="0" fontId="67" fillId="0" borderId="0" xfId="2" applyNumberFormat="1" applyFont="1" applyFill="1" applyAlignment="1" applyProtection="1">
      <alignment horizontal="left" vertical="center"/>
      <protection locked="0"/>
    </xf>
    <xf numFmtId="37" fontId="43" fillId="0" borderId="0" xfId="2" applyNumberFormat="1" applyFont="1" applyFill="1" applyBorder="1" applyAlignment="1">
      <alignment vertical="center"/>
    </xf>
    <xf numFmtId="37" fontId="43" fillId="0" borderId="0" xfId="2" applyNumberFormat="1" applyFont="1" applyFill="1" applyAlignment="1">
      <alignment vertical="center"/>
    </xf>
    <xf numFmtId="0" fontId="67" fillId="0" borderId="0" xfId="2" applyNumberFormat="1" applyFont="1" applyFill="1" applyAlignment="1">
      <alignment horizontal="left" vertical="center"/>
    </xf>
    <xf numFmtId="0" fontId="50" fillId="0" borderId="0" xfId="0" applyNumberFormat="1" applyFont="1" applyAlignment="1">
      <alignment horizontal="left" vertical="top"/>
    </xf>
    <xf numFmtId="37" fontId="43" fillId="0" borderId="0" xfId="2" applyNumberFormat="1" applyFont="1" applyFill="1" applyBorder="1" applyAlignment="1" applyProtection="1"/>
    <xf numFmtId="37" fontId="133" fillId="0" borderId="0" xfId="2" applyNumberFormat="1" applyFont="1" applyFill="1" applyAlignment="1" applyProtection="1"/>
    <xf numFmtId="37" fontId="43" fillId="0" borderId="0" xfId="2" applyNumberFormat="1" applyFont="1" applyAlignment="1" applyProtection="1"/>
    <xf numFmtId="166"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4" fontId="42" fillId="0" borderId="0" xfId="0" applyFont="1" applyBorder="1" applyAlignment="1" applyProtection="1">
      <alignment horizontal="left"/>
    </xf>
    <xf numFmtId="166" fontId="45" fillId="0" borderId="10" xfId="0" applyNumberFormat="1" applyFont="1" applyBorder="1" applyAlignment="1" applyProtection="1">
      <alignment horizontal="left"/>
    </xf>
    <xf numFmtId="164" fontId="38" fillId="0" borderId="10" xfId="0" applyFont="1" applyBorder="1" applyAlignment="1" applyProtection="1">
      <alignment horizontal="left"/>
    </xf>
    <xf numFmtId="166" fontId="45" fillId="0" borderId="0" xfId="0" applyNumberFormat="1" applyFont="1" applyFill="1" applyBorder="1" applyAlignment="1" applyProtection="1">
      <alignment horizontal="center"/>
    </xf>
    <xf numFmtId="166" fontId="45" fillId="0" borderId="0" xfId="0" applyNumberFormat="1" applyFont="1" applyBorder="1" applyAlignment="1" applyProtection="1">
      <alignment horizontal="center"/>
    </xf>
    <xf numFmtId="164" fontId="40" fillId="0" borderId="0" xfId="0" applyFont="1" applyBorder="1" applyAlignment="1" applyProtection="1">
      <alignment horizontal="center"/>
    </xf>
    <xf numFmtId="166" fontId="45" fillId="0" borderId="10" xfId="0" applyNumberFormat="1" applyFont="1" applyBorder="1" applyAlignment="1" applyProtection="1">
      <alignment horizontal="center"/>
    </xf>
    <xf numFmtId="39"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39" fillId="0" borderId="0" xfId="0" applyNumberFormat="1" applyFont="1" applyFill="1" applyBorder="1" applyAlignment="1" applyProtection="1">
      <alignment horizontal="left"/>
    </xf>
    <xf numFmtId="0" fontId="45" fillId="0" borderId="0" xfId="2" applyNumberFormat="1" applyFont="1" applyFill="1" applyAlignment="1">
      <alignment horizontal="right"/>
    </xf>
    <xf numFmtId="0" fontId="45" fillId="0" borderId="0" xfId="2" applyNumberFormat="1" applyFont="1" applyAlignment="1">
      <alignment horizontal="left"/>
    </xf>
    <xf numFmtId="0" fontId="45" fillId="0" borderId="66" xfId="2" applyNumberFormat="1" applyFont="1" applyBorder="1" applyAlignment="1">
      <alignment horizontal="center"/>
    </xf>
    <xf numFmtId="0" fontId="67"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5" fillId="33" borderId="66" xfId="2" applyFont="1" applyFill="1" applyBorder="1" applyAlignment="1">
      <alignment horizontal="center"/>
    </xf>
    <xf numFmtId="0" fontId="67" fillId="0" borderId="0" xfId="2" applyNumberFormat="1" applyFont="1" applyFill="1" applyAlignment="1" applyProtection="1"/>
    <xf numFmtId="0" fontId="0" fillId="0" borderId="0" xfId="2" applyFont="1" applyFill="1" applyBorder="1" applyAlignment="1" applyProtection="1"/>
    <xf numFmtId="0" fontId="45" fillId="0" borderId="66" xfId="2" applyFont="1" applyFill="1" applyBorder="1" applyAlignment="1">
      <alignment horizontal="center"/>
    </xf>
    <xf numFmtId="166" fontId="75" fillId="0" borderId="0" xfId="2" applyNumberFormat="1" applyFont="1" applyFill="1" applyAlignment="1">
      <alignment horizontal="right"/>
    </xf>
    <xf numFmtId="0" fontId="40" fillId="0" borderId="0" xfId="2" applyFont="1" applyFill="1" applyBorder="1" applyAlignment="1"/>
    <xf numFmtId="0" fontId="45" fillId="0" borderId="10" xfId="2" quotePrefix="1" applyNumberFormat="1" applyFont="1" applyFill="1" applyBorder="1" applyAlignment="1" applyProtection="1">
      <alignment horizontal="center"/>
      <protection locked="0"/>
    </xf>
    <xf numFmtId="0" fontId="45"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8" fillId="0" borderId="0" xfId="2" applyFont="1" applyFill="1" applyBorder="1" applyAlignment="1" applyProtection="1"/>
    <xf numFmtId="166" fontId="45" fillId="0" borderId="66" xfId="2" applyNumberFormat="1" applyFont="1" applyFill="1" applyBorder="1" applyAlignment="1" applyProtection="1">
      <alignment horizontal="center"/>
    </xf>
    <xf numFmtId="0" fontId="45" fillId="0" borderId="10" xfId="2" quotePrefix="1" applyNumberFormat="1" applyFont="1" applyBorder="1" applyAlignment="1" applyProtection="1">
      <alignment horizontal="center"/>
    </xf>
    <xf numFmtId="0" fontId="44" fillId="0" borderId="0" xfId="4" quotePrefix="1" applyFont="1" applyFill="1" applyAlignment="1" applyProtection="1">
      <alignment horizontal="right"/>
    </xf>
    <xf numFmtId="0" fontId="86" fillId="0" borderId="0" xfId="4" applyFill="1" applyAlignment="1" applyProtection="1"/>
    <xf numFmtId="0" fontId="45" fillId="0" borderId="10" xfId="4" quotePrefix="1" applyFont="1" applyFill="1" applyBorder="1" applyAlignment="1" applyProtection="1">
      <alignment horizontal="center"/>
    </xf>
    <xf numFmtId="0" fontId="45" fillId="0" borderId="10" xfId="2" quotePrefix="1" applyNumberFormat="1" applyFont="1" applyBorder="1" applyAlignment="1">
      <alignment horizontal="center"/>
    </xf>
    <xf numFmtId="0" fontId="0" fillId="0" borderId="10" xfId="2" applyFont="1" applyBorder="1" applyAlignment="1"/>
    <xf numFmtId="0" fontId="45" fillId="0" borderId="10" xfId="2" quotePrefix="1" applyNumberFormat="1" applyFont="1" applyFill="1" applyBorder="1" applyAlignment="1" applyProtection="1">
      <alignment horizontal="center" wrapText="1"/>
    </xf>
    <xf numFmtId="0" fontId="45" fillId="0" borderId="10" xfId="2" quotePrefix="1" applyNumberFormat="1" applyFont="1" applyFill="1" applyBorder="1" applyAlignment="1">
      <alignment horizontal="center"/>
    </xf>
    <xf numFmtId="0" fontId="0" fillId="0" borderId="10" xfId="2" applyFont="1" applyFill="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Fill="1" applyAlignment="1">
      <alignment horizontal="justify" vertical="top" wrapText="1"/>
    </xf>
    <xf numFmtId="181" fontId="45" fillId="0" borderId="0" xfId="1776" quotePrefix="1" applyNumberFormat="1" applyFont="1" applyAlignment="1">
      <alignment horizontal="left" vertical="distributed" wrapText="1"/>
    </xf>
    <xf numFmtId="181" fontId="43" fillId="0" borderId="0" xfId="1776" applyNumberFormat="1" applyFont="1" applyBorder="1" applyAlignment="1">
      <alignment horizontal="left" vertical="top" wrapText="1"/>
    </xf>
    <xf numFmtId="0" fontId="44" fillId="0" borderId="66" xfId="9967" applyNumberFormat="1" applyFont="1" applyFill="1" applyBorder="1" applyAlignment="1">
      <alignment horizontal="center"/>
    </xf>
    <xf numFmtId="0" fontId="38" fillId="0" borderId="0" xfId="17" applyNumberFormat="1" applyFont="1" applyAlignment="1">
      <alignment horizontal="left" wrapText="1"/>
    </xf>
    <xf numFmtId="0" fontId="42" fillId="0" borderId="51" xfId="739" applyFont="1" applyBorder="1" applyAlignment="1">
      <alignment horizontal="justify" wrapText="1"/>
    </xf>
    <xf numFmtId="0" fontId="42" fillId="0" borderId="52" xfId="739" applyFont="1" applyBorder="1" applyAlignment="1">
      <alignment horizontal="justify" wrapText="1"/>
    </xf>
    <xf numFmtId="0" fontId="42" fillId="0" borderId="53" xfId="739" applyFont="1" applyBorder="1" applyAlignment="1">
      <alignment horizontal="justify" wrapText="1"/>
    </xf>
    <xf numFmtId="0" fontId="42" fillId="0" borderId="54" xfId="739" applyFont="1" applyBorder="1" applyAlignment="1">
      <alignment horizontal="justify" wrapText="1"/>
    </xf>
    <xf numFmtId="0" fontId="42" fillId="0" borderId="0" xfId="739" applyFont="1" applyBorder="1" applyAlignment="1">
      <alignment horizontal="justify" wrapText="1"/>
    </xf>
    <xf numFmtId="0" fontId="42" fillId="0" borderId="44" xfId="739" applyFont="1" applyBorder="1" applyAlignment="1">
      <alignment horizontal="justify" wrapText="1"/>
    </xf>
    <xf numFmtId="0" fontId="42" fillId="0" borderId="55" xfId="739" applyFont="1" applyBorder="1" applyAlignment="1">
      <alignment horizontal="justify" wrapText="1"/>
    </xf>
    <xf numFmtId="0" fontId="42" fillId="0" borderId="50" xfId="739" applyFont="1" applyBorder="1" applyAlignment="1">
      <alignment horizontal="justify" wrapText="1"/>
    </xf>
    <xf numFmtId="0" fontId="42" fillId="0" borderId="56" xfId="739" applyFont="1" applyBorder="1" applyAlignment="1">
      <alignment horizontal="justify" wrapText="1"/>
    </xf>
    <xf numFmtId="17" fontId="45" fillId="0" borderId="10" xfId="25863" quotePrefix="1" applyNumberFormat="1" applyFont="1" applyFill="1" applyBorder="1" applyAlignment="1">
      <alignment horizontal="center"/>
    </xf>
    <xf numFmtId="7" fontId="45" fillId="0" borderId="10" xfId="25863" applyNumberFormat="1" applyFont="1" applyFill="1" applyBorder="1" applyAlignment="1">
      <alignment horizontal="center"/>
    </xf>
  </cellXfs>
  <cellStyles count="49697">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81640625" defaultRowHeight="13.2"/>
  <cols>
    <col min="1" max="1" width="2.08984375" style="576" customWidth="1"/>
    <col min="2" max="2" width="22.81640625" style="576" customWidth="1"/>
    <col min="3" max="3" width="6" style="576" customWidth="1"/>
    <col min="4" max="4" width="24.08984375" style="576" customWidth="1"/>
    <col min="5" max="6" width="12.453125" style="576" customWidth="1"/>
    <col min="7" max="7" width="4" style="576" customWidth="1"/>
    <col min="8" max="8" width="12.453125" style="576" customWidth="1"/>
    <col min="9" max="9" width="12" style="576" customWidth="1"/>
    <col min="10" max="10" width="3.81640625" style="576" customWidth="1"/>
    <col min="11" max="11" width="28.453125" style="576" customWidth="1"/>
    <col min="12" max="16384" width="8.81640625" style="576"/>
  </cols>
  <sheetData>
    <row r="1" spans="1:10" s="573" customFormat="1">
      <c r="A1" s="571"/>
      <c r="B1" s="571"/>
      <c r="C1" s="571"/>
      <c r="D1" s="571"/>
      <c r="E1" s="571"/>
      <c r="F1" s="571"/>
      <c r="G1" s="571"/>
      <c r="H1" s="571"/>
      <c r="I1" s="571"/>
      <c r="J1" s="572"/>
    </row>
    <row r="2" spans="1:10" s="573" customFormat="1">
      <c r="A2" s="571"/>
      <c r="B2" s="571"/>
      <c r="C2" s="571"/>
      <c r="D2" s="571"/>
      <c r="E2" s="571"/>
      <c r="F2" s="571"/>
      <c r="G2" s="571"/>
      <c r="H2" s="571"/>
      <c r="I2" s="571"/>
      <c r="J2" s="572"/>
    </row>
    <row r="3" spans="1:10" s="573" customFormat="1">
      <c r="A3" s="571"/>
      <c r="B3" s="571"/>
      <c r="C3" s="571"/>
      <c r="D3" s="571"/>
      <c r="E3" s="571"/>
      <c r="F3" s="571"/>
      <c r="G3" s="571"/>
      <c r="H3" s="571"/>
      <c r="I3" s="571"/>
      <c r="J3" s="572"/>
    </row>
    <row r="4" spans="1:10" s="573" customFormat="1">
      <c r="A4" s="571" t="s">
        <v>846</v>
      </c>
      <c r="B4" s="571"/>
      <c r="C4" s="571"/>
      <c r="D4" s="571"/>
      <c r="E4" s="571"/>
      <c r="F4" s="571"/>
      <c r="G4" s="571"/>
      <c r="H4" s="571"/>
      <c r="I4" s="761" t="s">
        <v>842</v>
      </c>
      <c r="J4" s="572"/>
    </row>
    <row r="5" spans="1:10" ht="17.399999999999999">
      <c r="A5" s="571" t="s">
        <v>844</v>
      </c>
      <c r="B5" s="574"/>
      <c r="C5" s="574"/>
      <c r="D5" s="574"/>
      <c r="E5" s="574"/>
      <c r="F5" s="574"/>
      <c r="G5" s="574"/>
      <c r="H5" s="574"/>
      <c r="I5" s="761" t="s">
        <v>843</v>
      </c>
      <c r="J5" s="575"/>
    </row>
    <row r="6" spans="1:10" ht="17.399999999999999">
      <c r="A6" s="571" t="s">
        <v>722</v>
      </c>
      <c r="B6" s="574"/>
      <c r="C6" s="574"/>
      <c r="D6" s="574"/>
      <c r="E6" s="574"/>
      <c r="F6" s="574"/>
      <c r="G6" s="574"/>
      <c r="H6" s="574"/>
      <c r="I6" s="574"/>
      <c r="J6" s="575"/>
    </row>
    <row r="7" spans="1:10" ht="17.399999999999999">
      <c r="A7" s="571" t="s">
        <v>723</v>
      </c>
      <c r="B7" s="574"/>
      <c r="C7" s="574"/>
      <c r="D7" s="574"/>
      <c r="E7" s="574"/>
      <c r="F7" s="574"/>
      <c r="G7" s="574"/>
      <c r="H7" s="574"/>
      <c r="I7" s="574"/>
      <c r="J7" s="575"/>
    </row>
    <row r="8" spans="1:10" ht="18" thickBot="1">
      <c r="A8" s="574"/>
      <c r="B8" s="574"/>
      <c r="C8" s="574"/>
      <c r="D8" s="574"/>
      <c r="E8" s="574"/>
      <c r="F8" s="574"/>
      <c r="G8" s="574"/>
      <c r="H8" s="574"/>
      <c r="I8" s="574"/>
      <c r="J8" s="575"/>
    </row>
    <row r="9" spans="1:10" ht="18" thickTop="1">
      <c r="A9" s="577" t="s">
        <v>724</v>
      </c>
      <c r="B9" s="578"/>
      <c r="C9" s="578"/>
      <c r="D9" s="578"/>
      <c r="E9" s="578"/>
      <c r="F9" s="578"/>
      <c r="G9" s="578"/>
      <c r="H9" s="578"/>
      <c r="I9" s="578"/>
      <c r="J9" s="579"/>
    </row>
    <row r="10" spans="1:10" ht="18" thickBot="1">
      <c r="A10" s="1518" t="s">
        <v>1564</v>
      </c>
      <c r="B10" s="574"/>
      <c r="C10" s="574"/>
      <c r="D10" s="574"/>
      <c r="E10" s="574"/>
      <c r="F10" s="574"/>
      <c r="G10" s="574"/>
      <c r="H10" s="574"/>
      <c r="I10" s="574"/>
      <c r="J10" s="579"/>
    </row>
    <row r="11" spans="1:10" ht="18" thickTop="1">
      <c r="A11" s="580"/>
      <c r="B11" s="581"/>
      <c r="C11" s="581"/>
      <c r="D11" s="581"/>
      <c r="E11" s="581"/>
      <c r="F11" s="581"/>
      <c r="G11" s="581"/>
      <c r="H11" s="581"/>
      <c r="I11" s="581"/>
      <c r="J11" s="582"/>
    </row>
    <row r="12" spans="1:10">
      <c r="A12" s="571" t="s">
        <v>725</v>
      </c>
      <c r="B12" s="574"/>
      <c r="C12" s="574"/>
      <c r="D12" s="574"/>
      <c r="E12" s="571"/>
      <c r="F12" s="571"/>
      <c r="G12" s="571"/>
      <c r="H12" s="574"/>
      <c r="I12" s="574"/>
      <c r="J12" s="583"/>
    </row>
    <row r="13" spans="1:10">
      <c r="A13" s="573"/>
      <c r="J13" s="583"/>
    </row>
    <row r="14" spans="1:10">
      <c r="A14" s="573" t="s">
        <v>726</v>
      </c>
      <c r="B14" s="586"/>
      <c r="J14" s="584"/>
    </row>
    <row r="15" spans="1:10">
      <c r="A15" s="573"/>
      <c r="B15" s="643"/>
      <c r="J15" s="584"/>
    </row>
    <row r="16" spans="1:10">
      <c r="A16" s="573"/>
      <c r="B16" s="1363" t="s">
        <v>757</v>
      </c>
      <c r="D16" s="585" t="s">
        <v>727</v>
      </c>
      <c r="F16" s="586"/>
      <c r="J16" s="644">
        <v>2</v>
      </c>
    </row>
    <row r="17" spans="1:255">
      <c r="A17" s="573"/>
      <c r="B17" s="1363" t="s">
        <v>758</v>
      </c>
      <c r="D17" s="576" t="s">
        <v>1060</v>
      </c>
      <c r="E17" s="588"/>
      <c r="F17" s="589"/>
      <c r="G17" s="588"/>
      <c r="H17" s="588"/>
      <c r="I17" s="588"/>
      <c r="J17" s="644">
        <v>3</v>
      </c>
      <c r="M17" s="590"/>
    </row>
    <row r="18" spans="1:255">
      <c r="A18" s="591"/>
      <c r="B18" s="1358" t="s">
        <v>1180</v>
      </c>
      <c r="D18" s="593" t="s">
        <v>879</v>
      </c>
      <c r="E18" s="585"/>
      <c r="F18" s="585"/>
      <c r="G18" s="585"/>
      <c r="H18" s="585"/>
      <c r="I18" s="585"/>
      <c r="J18" s="644">
        <v>4</v>
      </c>
    </row>
    <row r="19" spans="1:255">
      <c r="A19" s="573"/>
      <c r="B19" s="1358" t="s">
        <v>759</v>
      </c>
      <c r="D19" s="592" t="s">
        <v>728</v>
      </c>
      <c r="E19" s="592"/>
      <c r="F19" s="592"/>
      <c r="G19" s="592"/>
      <c r="H19" s="592"/>
      <c r="I19" s="592"/>
      <c r="J19" s="644">
        <v>6</v>
      </c>
      <c r="M19" s="590"/>
    </row>
    <row r="20" spans="1:255">
      <c r="A20" s="573"/>
      <c r="B20" s="1358" t="s">
        <v>760</v>
      </c>
      <c r="D20" s="592" t="s">
        <v>729</v>
      </c>
      <c r="E20" s="592"/>
      <c r="F20" s="592"/>
      <c r="G20" s="592"/>
      <c r="H20" s="592"/>
      <c r="I20" s="592"/>
      <c r="J20" s="644">
        <v>7</v>
      </c>
      <c r="M20" s="590"/>
    </row>
    <row r="21" spans="1:255">
      <c r="A21" s="573"/>
      <c r="B21" s="1358" t="s">
        <v>1026</v>
      </c>
      <c r="D21" s="593" t="s">
        <v>1061</v>
      </c>
      <c r="E21" s="592"/>
      <c r="F21" s="592"/>
      <c r="G21" s="592"/>
      <c r="H21" s="592"/>
      <c r="I21" s="592"/>
      <c r="J21" s="644">
        <v>8</v>
      </c>
      <c r="M21" s="590"/>
    </row>
    <row r="22" spans="1:255">
      <c r="A22" s="573"/>
      <c r="B22" s="1358" t="s">
        <v>1027</v>
      </c>
      <c r="D22" s="593" t="s">
        <v>1062</v>
      </c>
      <c r="E22" s="592"/>
      <c r="F22" s="592"/>
      <c r="G22" s="592"/>
      <c r="H22" s="592"/>
      <c r="I22" s="592"/>
      <c r="J22" s="644">
        <v>9</v>
      </c>
      <c r="M22" s="590"/>
    </row>
    <row r="23" spans="1:255">
      <c r="A23" s="573"/>
      <c r="B23" s="1363" t="s">
        <v>1028</v>
      </c>
      <c r="D23" s="593" t="s">
        <v>1069</v>
      </c>
      <c r="E23" s="592"/>
      <c r="F23" s="592"/>
      <c r="G23" s="592"/>
      <c r="H23" s="592"/>
      <c r="I23" s="592"/>
      <c r="J23" s="644">
        <v>10</v>
      </c>
      <c r="M23" s="590"/>
    </row>
    <row r="24" spans="1:255">
      <c r="A24" s="573"/>
      <c r="B24" s="1358" t="s">
        <v>1029</v>
      </c>
      <c r="D24" s="593" t="s">
        <v>1063</v>
      </c>
      <c r="E24" s="592"/>
      <c r="F24" s="592"/>
      <c r="G24" s="592"/>
      <c r="H24" s="592"/>
      <c r="I24" s="592"/>
      <c r="J24" s="644">
        <v>11</v>
      </c>
      <c r="M24" s="590"/>
    </row>
    <row r="25" spans="1:255">
      <c r="A25" s="573"/>
      <c r="B25" s="1358" t="s">
        <v>1030</v>
      </c>
      <c r="D25" s="593" t="s">
        <v>1064</v>
      </c>
      <c r="E25" s="592"/>
      <c r="F25" s="592"/>
      <c r="G25" s="592"/>
      <c r="H25" s="592"/>
      <c r="I25" s="592"/>
      <c r="J25" s="644">
        <v>12</v>
      </c>
      <c r="M25" s="590"/>
    </row>
    <row r="26" spans="1:255">
      <c r="A26" s="573"/>
      <c r="B26" s="1358" t="s">
        <v>1031</v>
      </c>
      <c r="D26" s="593" t="s">
        <v>1065</v>
      </c>
      <c r="E26" s="592"/>
      <c r="F26" s="592"/>
      <c r="G26" s="592"/>
      <c r="H26" s="592"/>
      <c r="I26" s="592"/>
      <c r="J26" s="644">
        <v>13</v>
      </c>
      <c r="M26" s="590"/>
    </row>
    <row r="27" spans="1:255">
      <c r="A27" s="573"/>
      <c r="B27" s="1358" t="s">
        <v>1032</v>
      </c>
      <c r="D27" s="593" t="s">
        <v>1066</v>
      </c>
      <c r="E27" s="592"/>
      <c r="F27" s="592"/>
      <c r="G27" s="592"/>
      <c r="H27" s="592"/>
      <c r="I27" s="592"/>
      <c r="J27" s="644">
        <v>14</v>
      </c>
      <c r="M27" s="590"/>
    </row>
    <row r="28" spans="1:255">
      <c r="A28" s="573"/>
      <c r="B28" s="1358" t="s">
        <v>1033</v>
      </c>
      <c r="D28" s="593" t="s">
        <v>1067</v>
      </c>
      <c r="E28" s="592"/>
      <c r="F28" s="592"/>
      <c r="G28" s="592"/>
      <c r="H28" s="592"/>
      <c r="I28" s="592"/>
      <c r="J28" s="644">
        <v>15</v>
      </c>
      <c r="M28" s="590"/>
    </row>
    <row r="29" spans="1:255">
      <c r="A29" s="573"/>
      <c r="B29" s="1358" t="s">
        <v>761</v>
      </c>
      <c r="D29" s="594" t="s">
        <v>730</v>
      </c>
      <c r="E29" s="592"/>
      <c r="F29" s="592"/>
      <c r="G29" s="592"/>
      <c r="H29" s="592"/>
      <c r="I29" s="592"/>
      <c r="J29" s="644">
        <v>16</v>
      </c>
      <c r="M29" s="590"/>
    </row>
    <row r="30" spans="1:255">
      <c r="A30" s="573"/>
      <c r="B30" s="1363" t="s">
        <v>779</v>
      </c>
      <c r="D30" s="593" t="s">
        <v>1068</v>
      </c>
      <c r="E30" s="593"/>
      <c r="F30" s="593"/>
      <c r="G30" s="593"/>
      <c r="H30" s="593"/>
      <c r="I30" s="593"/>
      <c r="J30" s="644">
        <v>17</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3"/>
      <c r="CM30" s="573"/>
      <c r="CN30" s="573"/>
      <c r="CO30" s="573"/>
      <c r="CP30" s="573"/>
      <c r="CQ30" s="573"/>
      <c r="CR30" s="573"/>
      <c r="CS30" s="573"/>
      <c r="CT30" s="573"/>
      <c r="CU30" s="573"/>
      <c r="CV30" s="573"/>
      <c r="CW30" s="573"/>
      <c r="CX30" s="573"/>
      <c r="CY30" s="573"/>
      <c r="CZ30" s="573"/>
      <c r="DA30" s="573"/>
      <c r="DB30" s="573"/>
      <c r="DC30" s="573"/>
      <c r="DD30" s="573"/>
      <c r="DE30" s="573"/>
      <c r="DF30" s="573"/>
      <c r="DG30" s="573"/>
      <c r="DH30" s="573"/>
      <c r="DI30" s="573"/>
      <c r="DJ30" s="573"/>
      <c r="DK30" s="573"/>
      <c r="DL30" s="573"/>
      <c r="DM30" s="573"/>
      <c r="DN30" s="573"/>
      <c r="DO30" s="573"/>
      <c r="DP30" s="573"/>
      <c r="DQ30" s="573"/>
      <c r="DR30" s="573"/>
      <c r="DS30" s="573"/>
      <c r="DT30" s="573"/>
      <c r="DU30" s="573"/>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3"/>
      <c r="GD30" s="573"/>
      <c r="GE30" s="573"/>
      <c r="GF30" s="573"/>
      <c r="GG30" s="573"/>
      <c r="GH30" s="573"/>
      <c r="GI30" s="573"/>
      <c r="GJ30" s="573"/>
      <c r="GK30" s="573"/>
      <c r="GL30" s="573"/>
      <c r="GM30" s="573"/>
      <c r="GN30" s="573"/>
      <c r="GO30" s="573"/>
      <c r="GP30" s="573"/>
      <c r="GQ30" s="573"/>
      <c r="GR30" s="573"/>
      <c r="GS30" s="573"/>
      <c r="GT30" s="573"/>
      <c r="GU30" s="573"/>
      <c r="GV30" s="573"/>
      <c r="GW30" s="573"/>
      <c r="GX30" s="573"/>
      <c r="GY30" s="573"/>
      <c r="GZ30" s="573"/>
      <c r="HA30" s="573"/>
      <c r="HB30" s="573"/>
      <c r="HC30" s="573"/>
      <c r="HD30" s="573"/>
      <c r="HE30" s="573"/>
      <c r="HF30" s="573"/>
      <c r="HG30" s="573"/>
      <c r="HH30" s="573"/>
      <c r="HI30" s="573"/>
      <c r="HJ30" s="573"/>
      <c r="HK30" s="573"/>
      <c r="HL30" s="573"/>
      <c r="HM30" s="573"/>
      <c r="HN30" s="573"/>
      <c r="HO30" s="573"/>
      <c r="HP30" s="573"/>
      <c r="HQ30" s="573"/>
      <c r="HR30" s="573"/>
      <c r="HS30" s="573"/>
      <c r="HT30" s="573"/>
      <c r="HU30" s="573"/>
      <c r="HV30" s="573"/>
      <c r="HW30" s="573"/>
      <c r="HX30" s="573"/>
      <c r="HY30" s="573"/>
      <c r="HZ30" s="573"/>
      <c r="IA30" s="573"/>
      <c r="IB30" s="573"/>
      <c r="IC30" s="573"/>
      <c r="ID30" s="573"/>
      <c r="IE30" s="573"/>
      <c r="IF30" s="573"/>
      <c r="IG30" s="573"/>
      <c r="IH30" s="573"/>
      <c r="II30" s="573"/>
      <c r="IJ30" s="573"/>
      <c r="IK30" s="573"/>
      <c r="IL30" s="573"/>
      <c r="IM30" s="573"/>
      <c r="IN30" s="573"/>
      <c r="IO30" s="573"/>
      <c r="IP30" s="573"/>
      <c r="IQ30" s="573"/>
      <c r="IR30" s="573"/>
      <c r="IS30" s="573"/>
      <c r="IT30" s="573"/>
      <c r="IU30" s="573"/>
    </row>
    <row r="31" spans="1:255">
      <c r="A31" s="573"/>
      <c r="B31" s="1358" t="s">
        <v>1034</v>
      </c>
      <c r="D31" s="593" t="s">
        <v>1060</v>
      </c>
      <c r="E31" s="588"/>
      <c r="F31" s="588"/>
      <c r="G31" s="588"/>
      <c r="H31" s="588"/>
      <c r="I31" s="588"/>
      <c r="J31" s="644">
        <v>19</v>
      </c>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c r="CA31" s="573"/>
      <c r="CB31" s="573"/>
      <c r="CC31" s="573"/>
      <c r="CD31" s="573"/>
      <c r="CE31" s="573"/>
      <c r="CF31" s="573"/>
      <c r="CG31" s="573"/>
      <c r="CH31" s="573"/>
      <c r="CI31" s="573"/>
      <c r="CJ31" s="573"/>
      <c r="CK31" s="573"/>
      <c r="CL31" s="573"/>
      <c r="CM31" s="573"/>
      <c r="CN31" s="573"/>
      <c r="CO31" s="573"/>
      <c r="CP31" s="573"/>
      <c r="CQ31" s="573"/>
      <c r="CR31" s="573"/>
      <c r="CS31" s="573"/>
      <c r="CT31" s="573"/>
      <c r="CU31" s="573"/>
      <c r="CV31" s="573"/>
      <c r="CW31" s="573"/>
      <c r="CX31" s="573"/>
      <c r="CY31" s="573"/>
      <c r="CZ31" s="573"/>
      <c r="DA31" s="573"/>
      <c r="DB31" s="573"/>
      <c r="DC31" s="573"/>
      <c r="DD31" s="573"/>
      <c r="DE31" s="573"/>
      <c r="DF31" s="573"/>
      <c r="DG31" s="573"/>
      <c r="DH31" s="573"/>
      <c r="DI31" s="573"/>
      <c r="DJ31" s="573"/>
      <c r="DK31" s="573"/>
      <c r="DL31" s="573"/>
      <c r="DM31" s="573"/>
      <c r="DN31" s="573"/>
      <c r="DO31" s="573"/>
      <c r="DP31" s="573"/>
      <c r="DQ31" s="573"/>
      <c r="DR31" s="573"/>
      <c r="DS31" s="573"/>
      <c r="DT31" s="573"/>
      <c r="DU31" s="573"/>
      <c r="DV31" s="573"/>
      <c r="DW31" s="573"/>
      <c r="DX31" s="573"/>
      <c r="DY31" s="573"/>
      <c r="DZ31" s="573"/>
      <c r="EA31" s="573"/>
      <c r="EB31" s="573"/>
      <c r="EC31" s="573"/>
      <c r="ED31" s="573"/>
      <c r="EE31" s="573"/>
      <c r="EF31" s="573"/>
      <c r="EG31" s="573"/>
      <c r="EH31" s="573"/>
      <c r="EI31" s="573"/>
      <c r="EJ31" s="573"/>
      <c r="EK31" s="573"/>
      <c r="EL31" s="573"/>
      <c r="EM31" s="573"/>
      <c r="EN31" s="573"/>
      <c r="EO31" s="573"/>
      <c r="EP31" s="573"/>
      <c r="EQ31" s="573"/>
      <c r="ER31" s="573"/>
      <c r="ES31" s="573"/>
      <c r="ET31" s="573"/>
      <c r="EU31" s="573"/>
      <c r="EV31" s="573"/>
      <c r="EW31" s="573"/>
      <c r="EX31" s="573"/>
      <c r="EY31" s="573"/>
      <c r="EZ31" s="573"/>
      <c r="FA31" s="573"/>
      <c r="FB31" s="573"/>
      <c r="FC31" s="573"/>
      <c r="FD31" s="573"/>
      <c r="FE31" s="573"/>
      <c r="FF31" s="573"/>
      <c r="FG31" s="573"/>
      <c r="FH31" s="573"/>
      <c r="FI31" s="573"/>
      <c r="FJ31" s="573"/>
      <c r="FK31" s="573"/>
      <c r="FL31" s="573"/>
      <c r="FM31" s="573"/>
      <c r="FN31" s="573"/>
      <c r="FO31" s="573"/>
      <c r="FP31" s="573"/>
      <c r="FQ31" s="573"/>
      <c r="FR31" s="573"/>
      <c r="FS31" s="573"/>
      <c r="FT31" s="573"/>
      <c r="FU31" s="573"/>
      <c r="FV31" s="573"/>
      <c r="FW31" s="573"/>
      <c r="FX31" s="573"/>
      <c r="FY31" s="573"/>
      <c r="FZ31" s="573"/>
      <c r="GA31" s="573"/>
      <c r="GB31" s="573"/>
      <c r="GC31" s="573"/>
      <c r="GD31" s="573"/>
      <c r="GE31" s="573"/>
      <c r="GF31" s="573"/>
      <c r="GG31" s="573"/>
      <c r="GH31" s="573"/>
      <c r="GI31" s="573"/>
      <c r="GJ31" s="573"/>
      <c r="GK31" s="573"/>
      <c r="GL31" s="573"/>
      <c r="GM31" s="573"/>
      <c r="GN31" s="573"/>
      <c r="GO31" s="573"/>
      <c r="GP31" s="573"/>
      <c r="GQ31" s="573"/>
      <c r="GR31" s="573"/>
      <c r="GS31" s="573"/>
      <c r="GT31" s="573"/>
      <c r="GU31" s="573"/>
      <c r="GV31" s="573"/>
      <c r="GW31" s="573"/>
      <c r="GX31" s="573"/>
      <c r="GY31" s="573"/>
      <c r="GZ31" s="573"/>
      <c r="HA31" s="573"/>
      <c r="HB31" s="573"/>
      <c r="HC31" s="573"/>
      <c r="HD31" s="573"/>
      <c r="HE31" s="573"/>
      <c r="HF31" s="573"/>
      <c r="HG31" s="573"/>
      <c r="HH31" s="573"/>
      <c r="HI31" s="573"/>
      <c r="HJ31" s="573"/>
      <c r="HK31" s="573"/>
      <c r="HL31" s="573"/>
      <c r="HM31" s="573"/>
      <c r="HN31" s="573"/>
      <c r="HO31" s="573"/>
      <c r="HP31" s="573"/>
      <c r="HQ31" s="573"/>
      <c r="HR31" s="573"/>
      <c r="HS31" s="573"/>
      <c r="HT31" s="573"/>
      <c r="HU31" s="573"/>
      <c r="HV31" s="573"/>
      <c r="HW31" s="573"/>
      <c r="HX31" s="573"/>
      <c r="HY31" s="573"/>
      <c r="HZ31" s="573"/>
      <c r="IA31" s="573"/>
      <c r="IB31" s="573"/>
      <c r="IC31" s="573"/>
      <c r="ID31" s="573"/>
      <c r="IE31" s="573"/>
      <c r="IF31" s="573"/>
      <c r="IG31" s="573"/>
      <c r="IH31" s="573"/>
      <c r="II31" s="573"/>
      <c r="IJ31" s="573"/>
      <c r="IK31" s="573"/>
      <c r="IL31" s="573"/>
      <c r="IM31" s="573"/>
      <c r="IN31" s="573"/>
      <c r="IO31" s="573"/>
      <c r="IP31" s="573"/>
      <c r="IQ31" s="573"/>
      <c r="IR31" s="573"/>
      <c r="IS31" s="573"/>
      <c r="IT31" s="573"/>
      <c r="IU31" s="573"/>
    </row>
    <row r="32" spans="1:255">
      <c r="A32" s="573"/>
      <c r="B32" s="1358"/>
      <c r="D32" s="595"/>
      <c r="E32" s="595"/>
      <c r="F32" s="595"/>
      <c r="G32" s="595"/>
      <c r="H32" s="595"/>
      <c r="I32" s="595"/>
      <c r="J32" s="644"/>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3"/>
      <c r="DV32" s="573"/>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3"/>
      <c r="GD32" s="573"/>
      <c r="GE32" s="573"/>
      <c r="GF32" s="573"/>
      <c r="GG32" s="573"/>
      <c r="GH32" s="573"/>
      <c r="GI32" s="573"/>
      <c r="GJ32" s="573"/>
      <c r="GK32" s="573"/>
      <c r="GL32" s="573"/>
      <c r="GM32" s="573"/>
      <c r="GN32" s="573"/>
      <c r="GO32" s="573"/>
      <c r="GP32" s="573"/>
      <c r="GQ32" s="573"/>
      <c r="GR32" s="573"/>
      <c r="GS32" s="573"/>
      <c r="GT32" s="573"/>
      <c r="GU32" s="573"/>
      <c r="GV32" s="573"/>
      <c r="GW32" s="573"/>
      <c r="GX32" s="573"/>
      <c r="GY32" s="573"/>
      <c r="GZ32" s="573"/>
      <c r="HA32" s="573"/>
      <c r="HB32" s="573"/>
      <c r="HC32" s="573"/>
      <c r="HD32" s="573"/>
      <c r="HE32" s="573"/>
      <c r="HF32" s="573"/>
      <c r="HG32" s="573"/>
      <c r="HH32" s="573"/>
      <c r="HI32" s="573"/>
      <c r="HJ32" s="573"/>
      <c r="HK32" s="573"/>
      <c r="HL32" s="573"/>
      <c r="HM32" s="573"/>
      <c r="HN32" s="573"/>
      <c r="HO32" s="573"/>
      <c r="HP32" s="573"/>
      <c r="HQ32" s="573"/>
      <c r="HR32" s="573"/>
      <c r="HS32" s="573"/>
      <c r="HT32" s="573"/>
      <c r="HU32" s="573"/>
      <c r="HV32" s="573"/>
      <c r="HW32" s="573"/>
      <c r="HX32" s="573"/>
      <c r="HY32" s="573"/>
      <c r="HZ32" s="573"/>
      <c r="IA32" s="573"/>
      <c r="IB32" s="573"/>
      <c r="IC32" s="573"/>
      <c r="ID32" s="573"/>
      <c r="IE32" s="573"/>
      <c r="IF32" s="573"/>
      <c r="IG32" s="573"/>
      <c r="IH32" s="573"/>
      <c r="II32" s="573"/>
      <c r="IJ32" s="573"/>
      <c r="IK32" s="573"/>
      <c r="IL32" s="573"/>
      <c r="IM32" s="573"/>
      <c r="IN32" s="573"/>
      <c r="IO32" s="573"/>
      <c r="IP32" s="573"/>
      <c r="IQ32" s="573"/>
      <c r="IR32" s="573"/>
      <c r="IS32" s="573"/>
      <c r="IT32" s="573"/>
      <c r="IU32" s="573"/>
    </row>
    <row r="33" spans="1:255">
      <c r="A33" s="573"/>
      <c r="B33" s="1359"/>
      <c r="D33" s="595"/>
      <c r="E33" s="595"/>
      <c r="F33" s="595"/>
      <c r="G33" s="595"/>
      <c r="H33" s="595"/>
      <c r="I33" s="595"/>
      <c r="J33" s="644"/>
      <c r="M33" s="590"/>
    </row>
    <row r="34" spans="1:255">
      <c r="A34" s="573" t="s">
        <v>731</v>
      </c>
      <c r="B34" s="1360"/>
      <c r="C34" s="573"/>
      <c r="D34" s="573"/>
      <c r="E34" s="573"/>
      <c r="F34" s="573"/>
      <c r="G34" s="573"/>
      <c r="H34" s="573"/>
      <c r="I34" s="573"/>
      <c r="J34" s="645"/>
      <c r="M34" s="590"/>
    </row>
    <row r="35" spans="1:255">
      <c r="A35" s="573"/>
      <c r="B35" s="1360"/>
      <c r="C35" s="573"/>
      <c r="D35" s="596"/>
      <c r="E35" s="596"/>
      <c r="F35" s="596"/>
      <c r="G35" s="596"/>
      <c r="H35" s="596"/>
      <c r="I35" s="596"/>
      <c r="J35" s="646"/>
      <c r="M35" s="590"/>
    </row>
    <row r="36" spans="1:255">
      <c r="A36" s="573"/>
      <c r="B36" s="1363" t="s">
        <v>762</v>
      </c>
      <c r="D36" s="585" t="s">
        <v>783</v>
      </c>
      <c r="E36" s="585"/>
      <c r="F36" s="585"/>
      <c r="G36" s="585"/>
      <c r="H36" s="585"/>
      <c r="I36" s="585"/>
      <c r="J36" s="644">
        <v>21</v>
      </c>
      <c r="M36" s="590"/>
    </row>
    <row r="37" spans="1:255">
      <c r="A37" s="573"/>
      <c r="B37" s="1363" t="s">
        <v>732</v>
      </c>
      <c r="D37" s="595" t="s">
        <v>778</v>
      </c>
      <c r="E37" s="595"/>
      <c r="F37" s="595"/>
      <c r="G37" s="595"/>
      <c r="H37" s="595"/>
      <c r="I37" s="595"/>
      <c r="J37" s="644">
        <v>23</v>
      </c>
      <c r="M37" s="590"/>
    </row>
    <row r="38" spans="1:255">
      <c r="A38" s="573"/>
      <c r="B38" s="1363" t="s">
        <v>763</v>
      </c>
      <c r="D38" s="592" t="s">
        <v>1181</v>
      </c>
      <c r="E38" s="592"/>
      <c r="F38" s="592"/>
      <c r="G38" s="592"/>
      <c r="H38" s="592"/>
      <c r="I38" s="592"/>
      <c r="J38" s="644">
        <v>25</v>
      </c>
      <c r="M38" s="590"/>
    </row>
    <row r="39" spans="1:255">
      <c r="A39" s="573"/>
      <c r="B39" s="1363" t="s">
        <v>764</v>
      </c>
      <c r="D39" s="592" t="s">
        <v>1182</v>
      </c>
      <c r="E39" s="592"/>
      <c r="F39" s="592"/>
      <c r="G39" s="592"/>
      <c r="H39" s="592"/>
      <c r="I39" s="592"/>
      <c r="J39" s="644">
        <v>27</v>
      </c>
      <c r="M39" s="590"/>
    </row>
    <row r="40" spans="1:255">
      <c r="A40" s="573"/>
      <c r="B40" s="1358" t="s">
        <v>733</v>
      </c>
      <c r="D40" s="592" t="s">
        <v>924</v>
      </c>
      <c r="E40" s="592"/>
      <c r="F40" s="592"/>
      <c r="G40" s="592"/>
      <c r="H40" s="592"/>
      <c r="I40" s="592"/>
      <c r="J40" s="644">
        <v>29</v>
      </c>
      <c r="M40" s="590"/>
    </row>
    <row r="41" spans="1:255">
      <c r="A41" s="573"/>
      <c r="B41" s="1363" t="s">
        <v>734</v>
      </c>
      <c r="D41" s="592" t="s">
        <v>887</v>
      </c>
      <c r="E41" s="592"/>
      <c r="F41" s="592"/>
      <c r="G41" s="592"/>
      <c r="H41" s="592"/>
      <c r="I41" s="592"/>
      <c r="J41" s="644">
        <v>30</v>
      </c>
      <c r="M41" s="590"/>
    </row>
    <row r="42" spans="1:255">
      <c r="A42" s="573"/>
      <c r="B42" s="1363" t="s">
        <v>765</v>
      </c>
      <c r="D42" s="592" t="s">
        <v>1183</v>
      </c>
      <c r="E42" s="592"/>
      <c r="F42" s="592"/>
      <c r="G42" s="592"/>
      <c r="H42" s="592"/>
      <c r="I42" s="592"/>
      <c r="J42" s="644">
        <v>32</v>
      </c>
      <c r="M42" s="590"/>
    </row>
    <row r="43" spans="1:255">
      <c r="A43" s="573"/>
      <c r="B43" s="1363" t="s">
        <v>766</v>
      </c>
      <c r="D43" s="592" t="s">
        <v>1184</v>
      </c>
      <c r="E43" s="592"/>
      <c r="F43" s="592"/>
      <c r="G43" s="592"/>
      <c r="H43" s="592"/>
      <c r="I43" s="592"/>
      <c r="J43" s="644">
        <v>34</v>
      </c>
      <c r="M43" s="590"/>
    </row>
    <row r="44" spans="1:255">
      <c r="A44" s="573"/>
      <c r="B44" s="1358" t="s">
        <v>735</v>
      </c>
      <c r="D44" s="592" t="s">
        <v>784</v>
      </c>
      <c r="E44" s="592"/>
      <c r="F44" s="592"/>
      <c r="G44" s="592"/>
      <c r="H44" s="592"/>
      <c r="I44" s="592"/>
      <c r="J44" s="644">
        <v>35</v>
      </c>
      <c r="M44" s="590"/>
    </row>
    <row r="45" spans="1:255">
      <c r="A45" s="573"/>
      <c r="B45" s="1363" t="s">
        <v>736</v>
      </c>
      <c r="D45" s="592" t="s">
        <v>780</v>
      </c>
      <c r="E45" s="592"/>
      <c r="F45" s="592"/>
      <c r="G45" s="592"/>
      <c r="H45" s="592"/>
      <c r="I45" s="592"/>
      <c r="J45" s="644">
        <v>36</v>
      </c>
      <c r="M45" s="590"/>
    </row>
    <row r="46" spans="1:255">
      <c r="A46" s="573"/>
      <c r="B46" s="1358" t="s">
        <v>737</v>
      </c>
      <c r="D46" s="592" t="s">
        <v>781</v>
      </c>
      <c r="E46" s="592"/>
      <c r="F46" s="592"/>
      <c r="G46" s="592"/>
      <c r="H46" s="592"/>
      <c r="I46" s="592"/>
      <c r="J46" s="644">
        <v>37</v>
      </c>
      <c r="M46" s="590"/>
    </row>
    <row r="47" spans="1:255">
      <c r="A47" s="573"/>
      <c r="B47" s="1358" t="s">
        <v>738</v>
      </c>
      <c r="D47" s="593" t="s">
        <v>782</v>
      </c>
      <c r="E47" s="593"/>
      <c r="F47" s="593"/>
      <c r="G47" s="593"/>
      <c r="H47" s="593"/>
      <c r="I47" s="593"/>
      <c r="J47" s="644">
        <v>38</v>
      </c>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c r="DJ47" s="573"/>
      <c r="DK47" s="573"/>
      <c r="DL47" s="573"/>
      <c r="DM47" s="573"/>
      <c r="DN47" s="573"/>
      <c r="DO47" s="573"/>
      <c r="DP47" s="573"/>
      <c r="DQ47" s="573"/>
      <c r="DR47" s="573"/>
      <c r="DS47" s="573"/>
      <c r="DT47" s="573"/>
      <c r="DU47" s="573"/>
      <c r="DV47" s="573"/>
      <c r="DW47" s="573"/>
      <c r="DX47" s="573"/>
      <c r="DY47" s="573"/>
      <c r="DZ47" s="573"/>
      <c r="EA47" s="573"/>
      <c r="EB47" s="573"/>
      <c r="EC47" s="573"/>
      <c r="ED47" s="573"/>
      <c r="EE47" s="573"/>
      <c r="EF47" s="573"/>
      <c r="EG47" s="573"/>
      <c r="EH47" s="573"/>
      <c r="EI47" s="573"/>
      <c r="EJ47" s="573"/>
      <c r="EK47" s="573"/>
      <c r="EL47" s="573"/>
      <c r="EM47" s="573"/>
      <c r="EN47" s="573"/>
      <c r="EO47" s="573"/>
      <c r="EP47" s="573"/>
      <c r="EQ47" s="573"/>
      <c r="ER47" s="573"/>
      <c r="ES47" s="573"/>
      <c r="ET47" s="573"/>
      <c r="EU47" s="573"/>
      <c r="EV47" s="573"/>
      <c r="EW47" s="573"/>
      <c r="EX47" s="573"/>
      <c r="EY47" s="573"/>
      <c r="EZ47" s="573"/>
      <c r="FA47" s="573"/>
      <c r="FB47" s="573"/>
      <c r="FC47" s="573"/>
      <c r="FD47" s="573"/>
      <c r="FE47" s="573"/>
      <c r="FF47" s="573"/>
      <c r="FG47" s="573"/>
      <c r="FH47" s="573"/>
      <c r="FI47" s="573"/>
      <c r="FJ47" s="573"/>
      <c r="FK47" s="573"/>
      <c r="FL47" s="573"/>
      <c r="FM47" s="573"/>
      <c r="FN47" s="573"/>
      <c r="FO47" s="573"/>
      <c r="FP47" s="573"/>
      <c r="FQ47" s="573"/>
      <c r="FR47" s="573"/>
      <c r="FS47" s="573"/>
      <c r="FT47" s="573"/>
      <c r="FU47" s="573"/>
      <c r="FV47" s="573"/>
      <c r="FW47" s="573"/>
      <c r="FX47" s="573"/>
      <c r="FY47" s="573"/>
      <c r="FZ47" s="573"/>
      <c r="GA47" s="573"/>
      <c r="GB47" s="573"/>
      <c r="GC47" s="573"/>
      <c r="GD47" s="573"/>
      <c r="GE47" s="573"/>
      <c r="GF47" s="573"/>
      <c r="GG47" s="573"/>
      <c r="GH47" s="573"/>
      <c r="GI47" s="573"/>
      <c r="GJ47" s="573"/>
      <c r="GK47" s="573"/>
      <c r="GL47" s="573"/>
      <c r="GM47" s="573"/>
      <c r="GN47" s="573"/>
      <c r="GO47" s="573"/>
      <c r="GP47" s="573"/>
      <c r="GQ47" s="573"/>
      <c r="GR47" s="573"/>
      <c r="GS47" s="573"/>
      <c r="GT47" s="573"/>
      <c r="GU47" s="573"/>
      <c r="GV47" s="573"/>
      <c r="GW47" s="573"/>
      <c r="GX47" s="573"/>
      <c r="GY47" s="573"/>
      <c r="GZ47" s="573"/>
      <c r="HA47" s="573"/>
      <c r="HB47" s="573"/>
      <c r="HC47" s="573"/>
      <c r="HD47" s="573"/>
      <c r="HE47" s="573"/>
      <c r="HF47" s="573"/>
      <c r="HG47" s="573"/>
      <c r="HH47" s="573"/>
      <c r="HI47" s="573"/>
      <c r="HJ47" s="573"/>
      <c r="HK47" s="573"/>
      <c r="HL47" s="573"/>
      <c r="HM47" s="573"/>
      <c r="HN47" s="573"/>
      <c r="HO47" s="573"/>
      <c r="HP47" s="573"/>
      <c r="HQ47" s="573"/>
      <c r="HR47" s="573"/>
      <c r="HS47" s="573"/>
      <c r="HT47" s="573"/>
      <c r="HU47" s="573"/>
      <c r="HV47" s="573"/>
      <c r="HW47" s="573"/>
      <c r="HX47" s="573"/>
      <c r="HY47" s="573"/>
      <c r="HZ47" s="573"/>
      <c r="IA47" s="573"/>
      <c r="IB47" s="573"/>
      <c r="IC47" s="573"/>
      <c r="ID47" s="573"/>
      <c r="IE47" s="573"/>
      <c r="IF47" s="573"/>
      <c r="IG47" s="573"/>
      <c r="IH47" s="573"/>
      <c r="II47" s="573"/>
      <c r="IJ47" s="573"/>
      <c r="IK47" s="573"/>
      <c r="IL47" s="573"/>
      <c r="IM47" s="573"/>
      <c r="IN47" s="573"/>
      <c r="IO47" s="573"/>
      <c r="IP47" s="573"/>
      <c r="IQ47" s="573"/>
      <c r="IR47" s="573"/>
      <c r="IS47" s="573"/>
      <c r="IT47" s="573"/>
      <c r="IU47" s="573"/>
    </row>
    <row r="48" spans="1:255">
      <c r="A48" s="573"/>
      <c r="B48" s="1359"/>
      <c r="D48" s="595"/>
      <c r="E48" s="595"/>
      <c r="F48" s="595"/>
      <c r="G48" s="595"/>
      <c r="H48" s="595"/>
      <c r="I48" s="595"/>
      <c r="J48" s="644"/>
      <c r="M48" s="590"/>
    </row>
    <row r="49" spans="1:13">
      <c r="A49" s="573" t="s">
        <v>739</v>
      </c>
      <c r="B49" s="1359"/>
      <c r="D49" s="595"/>
      <c r="E49" s="595"/>
      <c r="F49" s="595"/>
      <c r="G49" s="595"/>
      <c r="H49" s="595"/>
      <c r="I49" s="595"/>
      <c r="J49" s="644"/>
      <c r="M49" s="590"/>
    </row>
    <row r="50" spans="1:13">
      <c r="A50" s="573"/>
      <c r="B50" s="1360"/>
      <c r="C50" s="573"/>
      <c r="D50" s="596"/>
      <c r="E50" s="596"/>
      <c r="F50" s="596"/>
      <c r="G50" s="596"/>
      <c r="H50" s="596"/>
      <c r="I50" s="596"/>
      <c r="J50" s="645"/>
      <c r="M50" s="590"/>
    </row>
    <row r="51" spans="1:13">
      <c r="A51" s="573"/>
      <c r="B51" s="1358" t="s">
        <v>740</v>
      </c>
      <c r="D51" s="595" t="s">
        <v>785</v>
      </c>
      <c r="E51" s="595"/>
      <c r="F51" s="595"/>
      <c r="G51" s="595"/>
      <c r="H51" s="595"/>
      <c r="I51" s="595"/>
      <c r="J51" s="644">
        <v>39</v>
      </c>
      <c r="M51" s="590"/>
    </row>
    <row r="52" spans="1:13">
      <c r="A52" s="573"/>
      <c r="B52" s="1358" t="s">
        <v>741</v>
      </c>
      <c r="D52" s="592" t="s">
        <v>786</v>
      </c>
      <c r="E52" s="592"/>
      <c r="F52" s="592"/>
      <c r="G52" s="592"/>
      <c r="H52" s="592"/>
      <c r="I52" s="592"/>
      <c r="J52" s="644">
        <v>42</v>
      </c>
      <c r="M52" s="590"/>
    </row>
    <row r="53" spans="1:13">
      <c r="A53" s="573"/>
      <c r="B53" s="1358" t="s">
        <v>742</v>
      </c>
      <c r="D53" s="592" t="s">
        <v>787</v>
      </c>
      <c r="E53" s="592"/>
      <c r="F53" s="592"/>
      <c r="G53" s="592"/>
      <c r="H53" s="592"/>
      <c r="I53" s="592"/>
      <c r="J53" s="644">
        <v>43</v>
      </c>
      <c r="M53" s="590"/>
    </row>
    <row r="54" spans="1:13">
      <c r="A54" s="573"/>
      <c r="B54" s="1358" t="s">
        <v>743</v>
      </c>
      <c r="D54" s="592" t="s">
        <v>790</v>
      </c>
      <c r="E54" s="592"/>
      <c r="F54" s="592"/>
      <c r="G54" s="592"/>
      <c r="H54" s="592"/>
      <c r="I54" s="592"/>
      <c r="J54" s="644">
        <v>44</v>
      </c>
      <c r="M54" s="590"/>
    </row>
    <row r="55" spans="1:13">
      <c r="A55" s="573"/>
      <c r="B55" s="1358" t="s">
        <v>744</v>
      </c>
      <c r="D55" s="592" t="s">
        <v>788</v>
      </c>
      <c r="E55" s="592"/>
      <c r="F55" s="592"/>
      <c r="G55" s="592"/>
      <c r="H55" s="592"/>
      <c r="I55" s="592"/>
      <c r="J55" s="644">
        <v>45</v>
      </c>
      <c r="K55" s="597"/>
      <c r="M55" s="590"/>
    </row>
    <row r="56" spans="1:13">
      <c r="A56" s="573"/>
      <c r="B56" s="1363" t="s">
        <v>745</v>
      </c>
      <c r="D56" s="592" t="s">
        <v>789</v>
      </c>
      <c r="E56" s="592"/>
      <c r="F56" s="592"/>
      <c r="G56" s="592"/>
      <c r="H56" s="592"/>
      <c r="I56" s="592"/>
      <c r="J56" s="644">
        <v>46</v>
      </c>
      <c r="K56" s="583"/>
    </row>
    <row r="57" spans="1:13">
      <c r="A57" s="573"/>
      <c r="B57" s="1358" t="s">
        <v>746</v>
      </c>
      <c r="D57" s="593" t="s">
        <v>747</v>
      </c>
      <c r="E57" s="593"/>
      <c r="F57" s="593"/>
      <c r="G57" s="593"/>
      <c r="H57" s="593"/>
      <c r="I57" s="593"/>
      <c r="J57" s="644">
        <v>47</v>
      </c>
      <c r="K57" s="583"/>
    </row>
    <row r="58" spans="1:13">
      <c r="A58" s="573"/>
      <c r="B58" s="1361" t="s">
        <v>767</v>
      </c>
      <c r="D58" s="585" t="s">
        <v>748</v>
      </c>
      <c r="E58" s="585"/>
      <c r="F58" s="585"/>
      <c r="G58" s="585"/>
      <c r="H58" s="585"/>
      <c r="I58" s="585"/>
      <c r="J58" s="644">
        <v>48</v>
      </c>
      <c r="K58" s="583"/>
      <c r="M58" s="590"/>
    </row>
    <row r="59" spans="1:13">
      <c r="A59" s="573"/>
      <c r="B59" s="1362" t="s">
        <v>768</v>
      </c>
      <c r="D59" s="588" t="s">
        <v>749</v>
      </c>
      <c r="E59" s="588"/>
      <c r="F59" s="588"/>
      <c r="G59" s="588"/>
      <c r="H59" s="588"/>
      <c r="I59" s="588"/>
      <c r="J59" s="644">
        <v>49</v>
      </c>
      <c r="K59" s="583"/>
      <c r="M59" s="590"/>
    </row>
    <row r="60" spans="1:13">
      <c r="A60" s="573"/>
      <c r="B60" s="1362" t="s">
        <v>769</v>
      </c>
      <c r="D60" s="598" t="s">
        <v>750</v>
      </c>
      <c r="E60" s="588"/>
      <c r="F60" s="598"/>
      <c r="G60" s="588"/>
      <c r="H60" s="588"/>
      <c r="I60" s="588"/>
      <c r="J60" s="644">
        <v>50</v>
      </c>
      <c r="K60" s="583"/>
      <c r="M60" s="590"/>
    </row>
    <row r="61" spans="1:13">
      <c r="A61" s="573"/>
      <c r="B61" s="1362" t="s">
        <v>770</v>
      </c>
      <c r="D61" s="588" t="s">
        <v>751</v>
      </c>
      <c r="E61" s="588"/>
      <c r="F61" s="588"/>
      <c r="G61" s="588"/>
      <c r="H61" s="588"/>
      <c r="I61" s="588"/>
      <c r="J61" s="644">
        <v>51</v>
      </c>
      <c r="K61" s="595"/>
      <c r="M61" s="590"/>
    </row>
    <row r="62" spans="1:13">
      <c r="A62" s="573"/>
      <c r="B62" s="1613" t="s">
        <v>771</v>
      </c>
      <c r="D62" s="588" t="s">
        <v>1185</v>
      </c>
      <c r="E62" s="588"/>
      <c r="F62" s="588"/>
      <c r="G62" s="588"/>
      <c r="H62" s="589"/>
      <c r="I62" s="588"/>
      <c r="J62" s="644">
        <v>52</v>
      </c>
      <c r="K62" s="595"/>
      <c r="M62" s="590"/>
    </row>
    <row r="63" spans="1:13">
      <c r="A63" s="573"/>
      <c r="B63" s="1613" t="s">
        <v>772</v>
      </c>
      <c r="D63" s="588" t="s">
        <v>752</v>
      </c>
      <c r="E63" s="588"/>
      <c r="F63" s="588"/>
      <c r="G63" s="588"/>
      <c r="H63" s="589"/>
      <c r="I63" s="588"/>
      <c r="J63" s="644">
        <v>53</v>
      </c>
      <c r="K63" s="595"/>
      <c r="M63" s="590"/>
    </row>
    <row r="64" spans="1:13">
      <c r="A64" s="573"/>
      <c r="B64" s="1363" t="s">
        <v>773</v>
      </c>
      <c r="D64" s="588" t="s">
        <v>1132</v>
      </c>
      <c r="E64" s="588"/>
      <c r="F64" s="588"/>
      <c r="G64" s="588"/>
      <c r="H64" s="589"/>
      <c r="I64" s="588"/>
      <c r="J64" s="644">
        <v>57</v>
      </c>
      <c r="K64" s="595"/>
      <c r="M64" s="590"/>
    </row>
    <row r="65" spans="1:13" ht="13.35" customHeight="1">
      <c r="A65" s="573"/>
      <c r="B65" s="1363" t="s">
        <v>1311</v>
      </c>
      <c r="D65" s="588" t="s">
        <v>1338</v>
      </c>
      <c r="E65" s="588"/>
      <c r="F65" s="588"/>
      <c r="G65" s="588"/>
      <c r="H65" s="589"/>
      <c r="I65" s="588"/>
      <c r="J65" s="644">
        <v>58</v>
      </c>
      <c r="K65" s="595"/>
      <c r="M65" s="590"/>
    </row>
    <row r="66" spans="1:13" ht="13.35" customHeight="1">
      <c r="A66" s="573"/>
      <c r="B66" s="1363" t="s">
        <v>1312</v>
      </c>
      <c r="D66" s="588" t="s">
        <v>1339</v>
      </c>
      <c r="E66" s="588"/>
      <c r="F66" s="588"/>
      <c r="G66" s="588"/>
      <c r="H66" s="589"/>
      <c r="I66" s="588"/>
      <c r="J66" s="644">
        <v>59</v>
      </c>
      <c r="K66" s="595"/>
      <c r="M66" s="590"/>
    </row>
    <row r="67" spans="1:13" ht="13.35" customHeight="1">
      <c r="A67" s="573"/>
      <c r="B67" s="599"/>
      <c r="D67" s="600"/>
      <c r="E67" s="600"/>
      <c r="F67" s="600"/>
      <c r="G67" s="600"/>
      <c r="H67" s="600"/>
      <c r="I67" s="600"/>
      <c r="J67" s="587"/>
      <c r="K67" s="595"/>
      <c r="M67" s="590"/>
    </row>
    <row r="68" spans="1:13" ht="13.35" customHeight="1">
      <c r="A68" s="573"/>
      <c r="B68" s="599"/>
      <c r="D68" s="600"/>
      <c r="E68" s="600"/>
      <c r="F68" s="600"/>
      <c r="G68" s="600"/>
      <c r="H68" s="600"/>
      <c r="I68" s="600"/>
      <c r="J68" s="587"/>
      <c r="K68" s="595"/>
      <c r="M68" s="590"/>
    </row>
    <row r="69" spans="1:13" ht="13.35" customHeight="1">
      <c r="A69" s="573"/>
      <c r="B69" s="599"/>
      <c r="D69" s="600"/>
      <c r="E69" s="600"/>
      <c r="F69" s="600"/>
      <c r="G69" s="600"/>
      <c r="H69" s="600"/>
      <c r="I69" s="600"/>
      <c r="J69" s="587"/>
      <c r="K69" s="595"/>
      <c r="M69" s="590"/>
    </row>
    <row r="70" spans="1:13" ht="13.35" customHeight="1">
      <c r="A70" s="573"/>
      <c r="B70" s="599"/>
      <c r="D70" s="600"/>
      <c r="E70" s="600"/>
      <c r="F70" s="600"/>
      <c r="G70" s="600"/>
      <c r="H70" s="600"/>
      <c r="I70" s="600"/>
      <c r="J70" s="587"/>
      <c r="K70" s="595"/>
      <c r="M70" s="590"/>
    </row>
    <row r="71" spans="1:13" ht="13.35" customHeight="1">
      <c r="A71" s="573"/>
      <c r="B71" s="599"/>
      <c r="D71" s="600"/>
      <c r="E71" s="600"/>
      <c r="F71" s="600"/>
      <c r="G71" s="600"/>
      <c r="H71" s="600"/>
      <c r="I71" s="600"/>
      <c r="J71" s="587"/>
      <c r="K71" s="595"/>
      <c r="M71" s="590"/>
    </row>
    <row r="72" spans="1:13" ht="13.35" customHeight="1">
      <c r="A72" s="573"/>
      <c r="B72" s="599"/>
      <c r="D72" s="600"/>
      <c r="E72" s="600"/>
      <c r="F72" s="600"/>
      <c r="G72" s="600"/>
      <c r="H72" s="600"/>
      <c r="I72" s="600"/>
      <c r="J72" s="587"/>
      <c r="K72" s="595"/>
      <c r="M72" s="590"/>
    </row>
    <row r="73" spans="1:13" ht="13.35" customHeight="1">
      <c r="A73" s="573"/>
      <c r="B73" s="599"/>
      <c r="D73" s="600"/>
      <c r="E73" s="600"/>
      <c r="F73" s="600"/>
      <c r="G73" s="600"/>
      <c r="H73" s="600"/>
      <c r="I73" s="600"/>
      <c r="J73" s="587"/>
      <c r="K73" s="595"/>
      <c r="M73" s="590"/>
    </row>
    <row r="74" spans="1:13" ht="13.35" customHeight="1">
      <c r="A74" s="573"/>
      <c r="B74" s="599"/>
      <c r="D74" s="600"/>
      <c r="E74" s="600"/>
      <c r="F74" s="600"/>
      <c r="G74" s="600"/>
      <c r="H74" s="600"/>
      <c r="I74" s="600"/>
      <c r="J74" s="587"/>
      <c r="K74" s="595"/>
      <c r="M74" s="590"/>
    </row>
    <row r="75" spans="1:13" ht="13.35" customHeight="1">
      <c r="A75" s="573"/>
      <c r="B75" s="599"/>
      <c r="D75" s="600"/>
      <c r="E75" s="600"/>
      <c r="F75" s="600"/>
      <c r="G75" s="600"/>
      <c r="H75" s="600"/>
      <c r="I75" s="600"/>
      <c r="J75" s="587"/>
      <c r="K75" s="595"/>
      <c r="M75" s="590"/>
    </row>
    <row r="76" spans="1:13" ht="13.35" customHeight="1">
      <c r="A76" s="573"/>
      <c r="B76" s="599"/>
      <c r="D76" s="600"/>
      <c r="E76" s="600"/>
      <c r="F76" s="600"/>
      <c r="G76" s="600"/>
      <c r="H76" s="600"/>
      <c r="I76" s="600"/>
      <c r="J76" s="587"/>
      <c r="K76" s="595"/>
      <c r="M76" s="590"/>
    </row>
    <row r="77" spans="1:13" ht="13.35" customHeight="1">
      <c r="A77" s="573"/>
      <c r="B77" s="599"/>
      <c r="D77" s="600"/>
      <c r="E77" s="600"/>
      <c r="F77" s="600"/>
      <c r="G77" s="600"/>
      <c r="H77" s="600"/>
      <c r="I77" s="600"/>
      <c r="J77" s="587"/>
      <c r="K77" s="595"/>
      <c r="M77" s="590"/>
    </row>
    <row r="78" spans="1:13" ht="13.35" customHeight="1">
      <c r="A78" s="573"/>
      <c r="B78" s="599"/>
      <c r="D78" s="600"/>
      <c r="E78" s="600"/>
      <c r="F78" s="600"/>
      <c r="G78" s="600"/>
      <c r="H78" s="600"/>
      <c r="I78" s="600"/>
      <c r="J78" s="587"/>
      <c r="K78" s="595"/>
      <c r="M78" s="590"/>
    </row>
    <row r="79" spans="1:13" ht="13.35" customHeight="1">
      <c r="A79" s="573"/>
      <c r="B79" s="599"/>
      <c r="D79" s="600"/>
      <c r="E79" s="600"/>
      <c r="F79" s="600"/>
      <c r="G79" s="600"/>
      <c r="H79" s="600"/>
      <c r="I79" s="600"/>
      <c r="J79" s="587"/>
      <c r="K79" s="595"/>
      <c r="M79" s="590"/>
    </row>
    <row r="80" spans="1:13" ht="13.35" customHeight="1">
      <c r="A80" s="573"/>
      <c r="B80" s="599"/>
      <c r="D80" s="600"/>
      <c r="E80" s="600"/>
      <c r="F80" s="600"/>
      <c r="G80" s="600"/>
      <c r="H80" s="600"/>
      <c r="I80" s="600"/>
      <c r="J80" s="587"/>
      <c r="K80" s="595"/>
      <c r="M80" s="590"/>
    </row>
    <row r="81" spans="1:13" ht="13.35" customHeight="1">
      <c r="A81" s="573"/>
      <c r="B81" s="599"/>
      <c r="D81" s="600"/>
      <c r="E81" s="600"/>
      <c r="F81" s="600"/>
      <c r="G81" s="600"/>
      <c r="H81" s="600"/>
      <c r="I81" s="600"/>
      <c r="J81" s="587"/>
      <c r="K81" s="595"/>
      <c r="M81" s="590"/>
    </row>
    <row r="82" spans="1:13" ht="13.35" customHeight="1">
      <c r="A82" s="573"/>
      <c r="B82" s="599"/>
      <c r="D82" s="600"/>
      <c r="E82" s="600"/>
      <c r="F82" s="600"/>
      <c r="G82" s="600"/>
      <c r="H82" s="600"/>
      <c r="I82" s="600"/>
      <c r="J82" s="587"/>
      <c r="K82" s="595"/>
      <c r="M82" s="590"/>
    </row>
    <row r="83" spans="1:13" ht="13.35" customHeight="1">
      <c r="A83" s="573"/>
      <c r="B83" s="599"/>
      <c r="D83" s="600"/>
      <c r="E83" s="600"/>
      <c r="F83" s="600"/>
      <c r="G83" s="600"/>
      <c r="H83" s="600"/>
      <c r="I83" s="600"/>
      <c r="J83" s="587"/>
      <c r="K83" s="595"/>
      <c r="M83" s="590"/>
    </row>
    <row r="84" spans="1:13" ht="13.35" customHeight="1">
      <c r="A84" s="573"/>
      <c r="B84" s="599"/>
      <c r="D84" s="600"/>
      <c r="E84" s="600"/>
      <c r="F84" s="600"/>
      <c r="G84" s="600"/>
      <c r="H84" s="600"/>
      <c r="I84" s="600"/>
      <c r="J84" s="587"/>
      <c r="K84" s="595"/>
      <c r="M84" s="590"/>
    </row>
    <row r="85" spans="1:13" ht="13.35" customHeight="1">
      <c r="A85" s="573"/>
      <c r="B85" s="599"/>
      <c r="D85" s="600"/>
      <c r="E85" s="600"/>
      <c r="F85" s="600"/>
      <c r="G85" s="600"/>
      <c r="H85" s="600"/>
      <c r="I85" s="600"/>
      <c r="J85" s="587"/>
      <c r="K85" s="595"/>
      <c r="M85" s="590"/>
    </row>
    <row r="86" spans="1:13" ht="13.35" customHeight="1">
      <c r="A86" s="573"/>
      <c r="B86" s="599"/>
      <c r="D86" s="600"/>
      <c r="E86" s="600"/>
      <c r="F86" s="600"/>
      <c r="G86" s="600"/>
      <c r="H86" s="600"/>
      <c r="I86" s="600"/>
      <c r="J86" s="587"/>
      <c r="K86" s="595"/>
      <c r="M86" s="590"/>
    </row>
    <row r="87" spans="1:13" ht="13.35" customHeight="1">
      <c r="A87" s="573"/>
      <c r="B87" s="599"/>
      <c r="D87" s="600"/>
      <c r="E87" s="600"/>
      <c r="F87" s="600"/>
      <c r="G87" s="600"/>
      <c r="H87" s="600"/>
      <c r="I87" s="600"/>
      <c r="J87" s="587"/>
      <c r="K87" s="595"/>
      <c r="M87" s="590"/>
    </row>
    <row r="88" spans="1:13" ht="13.35" customHeight="1">
      <c r="A88" s="573"/>
      <c r="B88" s="599"/>
      <c r="D88" s="600"/>
      <c r="E88" s="600"/>
      <c r="F88" s="600"/>
      <c r="G88" s="600"/>
      <c r="H88" s="600"/>
      <c r="I88" s="600"/>
      <c r="J88" s="587"/>
      <c r="K88" s="595"/>
      <c r="M88" s="590"/>
    </row>
    <row r="89" spans="1:13" ht="13.35" customHeight="1">
      <c r="A89" s="573"/>
      <c r="B89" s="599"/>
      <c r="D89" s="600"/>
      <c r="E89" s="600"/>
      <c r="F89" s="600"/>
      <c r="G89" s="600"/>
      <c r="H89" s="600"/>
      <c r="I89" s="600"/>
      <c r="J89" s="587"/>
      <c r="K89" s="595"/>
      <c r="M89" s="590"/>
    </row>
    <row r="90" spans="1:13" ht="13.35" customHeight="1">
      <c r="A90" s="573"/>
      <c r="B90" s="599"/>
      <c r="D90" s="600"/>
      <c r="E90" s="600"/>
      <c r="F90" s="600"/>
      <c r="G90" s="600"/>
      <c r="H90" s="600"/>
      <c r="I90" s="600"/>
      <c r="J90" s="587"/>
      <c r="K90" s="595"/>
      <c r="M90" s="590"/>
    </row>
    <row r="91" spans="1:13" ht="13.35" customHeight="1">
      <c r="A91" s="573"/>
      <c r="B91" s="599"/>
      <c r="D91" s="600"/>
      <c r="E91" s="600"/>
      <c r="F91" s="600"/>
      <c r="G91" s="600"/>
      <c r="H91" s="600"/>
      <c r="I91" s="600"/>
      <c r="J91" s="587"/>
      <c r="K91" s="595"/>
      <c r="M91" s="590"/>
    </row>
    <row r="92" spans="1:13" ht="13.35" customHeight="1">
      <c r="A92" s="573"/>
      <c r="B92" s="599"/>
      <c r="D92" s="600"/>
      <c r="E92" s="600"/>
      <c r="F92" s="600"/>
      <c r="G92" s="600"/>
      <c r="H92" s="600"/>
      <c r="I92" s="600"/>
      <c r="J92" s="587"/>
      <c r="M92" s="590"/>
    </row>
    <row r="93" spans="1:13" ht="13.35" customHeight="1">
      <c r="A93" s="573"/>
      <c r="B93" s="599"/>
      <c r="D93" s="600"/>
      <c r="E93" s="600"/>
      <c r="F93" s="600"/>
      <c r="G93" s="600"/>
      <c r="H93" s="600"/>
      <c r="I93" s="600"/>
      <c r="J93" s="587"/>
      <c r="M93" s="590"/>
    </row>
    <row r="94" spans="1:13" ht="13.35" customHeight="1">
      <c r="A94" s="573"/>
      <c r="B94" s="599"/>
      <c r="D94" s="600"/>
      <c r="E94" s="600"/>
      <c r="F94" s="600"/>
      <c r="G94" s="600"/>
      <c r="H94" s="600"/>
      <c r="I94" s="600"/>
      <c r="J94" s="587"/>
      <c r="M94" s="590"/>
    </row>
    <row r="95" spans="1:13" ht="13.35" customHeight="1">
      <c r="A95" s="573"/>
      <c r="B95" s="599"/>
      <c r="D95" s="600"/>
      <c r="E95" s="600"/>
      <c r="F95" s="600"/>
      <c r="G95" s="600"/>
      <c r="H95" s="600"/>
      <c r="I95" s="600"/>
      <c r="J95" s="587"/>
      <c r="M95" s="590"/>
    </row>
    <row r="96" spans="1:13" ht="13.35" customHeight="1">
      <c r="A96" s="573"/>
      <c r="B96" s="599"/>
      <c r="D96" s="600"/>
      <c r="E96" s="600"/>
      <c r="F96" s="600"/>
      <c r="G96" s="600"/>
      <c r="H96" s="600"/>
      <c r="I96" s="600"/>
      <c r="J96" s="587"/>
      <c r="M96" s="590"/>
    </row>
    <row r="97" spans="1:13" ht="13.35" customHeight="1">
      <c r="A97" s="573"/>
      <c r="B97" s="599"/>
      <c r="D97" s="600"/>
      <c r="E97" s="600"/>
      <c r="F97" s="600"/>
      <c r="G97" s="600"/>
      <c r="H97" s="600"/>
      <c r="I97" s="600"/>
      <c r="J97" s="587"/>
      <c r="M97" s="590"/>
    </row>
    <row r="98" spans="1:13" ht="13.35" customHeight="1">
      <c r="A98" s="573"/>
      <c r="B98" s="599"/>
      <c r="D98" s="600"/>
      <c r="E98" s="600"/>
      <c r="F98" s="600"/>
      <c r="G98" s="600"/>
      <c r="H98" s="600"/>
      <c r="I98" s="600"/>
      <c r="J98" s="587"/>
      <c r="M98" s="590"/>
    </row>
    <row r="99" spans="1:13" ht="13.35" customHeight="1">
      <c r="A99" s="573"/>
      <c r="B99" s="599"/>
      <c r="D99" s="600"/>
      <c r="E99" s="600"/>
      <c r="F99" s="600"/>
      <c r="G99" s="600"/>
      <c r="H99" s="600"/>
      <c r="I99" s="600"/>
      <c r="J99" s="587"/>
      <c r="M99" s="590"/>
    </row>
    <row r="100" spans="1:13" ht="13.35" customHeight="1">
      <c r="A100" s="573"/>
      <c r="B100" s="599"/>
      <c r="D100" s="600"/>
      <c r="E100" s="600"/>
      <c r="F100" s="600"/>
      <c r="G100" s="600"/>
      <c r="H100" s="600"/>
      <c r="I100" s="600"/>
      <c r="J100" s="587"/>
      <c r="M100" s="590"/>
    </row>
    <row r="101" spans="1:13">
      <c r="A101" s="595"/>
      <c r="B101" s="601"/>
      <c r="C101" s="595"/>
      <c r="D101" s="595"/>
      <c r="E101" s="595"/>
      <c r="F101" s="595"/>
      <c r="G101" s="595"/>
      <c r="H101" s="595"/>
      <c r="I101" s="595"/>
      <c r="J101" s="603"/>
    </row>
    <row r="102" spans="1:13">
      <c r="B102" s="599"/>
      <c r="J102" s="602"/>
    </row>
    <row r="103" spans="1:13">
      <c r="B103" s="599"/>
      <c r="J103" s="602"/>
    </row>
    <row r="104" spans="1:13">
      <c r="B104" s="599"/>
    </row>
    <row r="105" spans="1:13">
      <c r="B105" s="599"/>
    </row>
    <row r="106" spans="1:13">
      <c r="B106" s="599"/>
    </row>
    <row r="107" spans="1:13">
      <c r="B107" s="599"/>
    </row>
    <row r="108" spans="1:13">
      <c r="B108" s="599"/>
    </row>
    <row r="109" spans="1:13">
      <c r="B109" s="59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90" workbookViewId="0"/>
  </sheetViews>
  <sheetFormatPr defaultColWidth="8.81640625" defaultRowHeight="10.199999999999999"/>
  <cols>
    <col min="1" max="1" width="35.08984375" style="2211" customWidth="1"/>
    <col min="2" max="2" width="9.08984375" style="2211" customWidth="1"/>
    <col min="3" max="3" width="5.54296875" style="2211" customWidth="1"/>
    <col min="4" max="4" width="12.81640625" style="2212" bestFit="1" customWidth="1"/>
    <col min="5" max="5" width="1.81640625" style="2211" customWidth="1"/>
    <col min="6" max="6" width="13.453125" style="2211" customWidth="1"/>
    <col min="7" max="7" width="2.08984375" style="2211" customWidth="1"/>
    <col min="8" max="8" width="12.81640625" style="2212" bestFit="1" customWidth="1"/>
    <col min="9" max="9" width="1.81640625" style="2211" customWidth="1"/>
    <col min="10" max="10" width="13.81640625" style="2211" customWidth="1"/>
    <col min="11" max="11" width="1.81640625" style="2211" customWidth="1"/>
    <col min="12" max="12" width="11.81640625" style="2212" customWidth="1"/>
    <col min="13" max="13" width="2" style="2211" customWidth="1"/>
    <col min="14" max="14" width="13.81640625" style="2211" customWidth="1"/>
    <col min="15" max="15" width="1.81640625" style="2211" customWidth="1"/>
    <col min="16" max="16" width="13" style="2211" customWidth="1"/>
    <col min="17" max="17" width="1.81640625" style="2211" customWidth="1"/>
    <col min="18" max="18" width="13.08984375" style="2211" customWidth="1"/>
    <col min="19" max="21" width="1.08984375" style="2211" customWidth="1"/>
    <col min="22" max="22" width="12.81640625" style="2212" bestFit="1" customWidth="1"/>
    <col min="23" max="23" width="1.81640625" style="2211" customWidth="1"/>
    <col min="24" max="24" width="13.81640625" style="2213" customWidth="1"/>
    <col min="25" max="27" width="1.08984375" style="2211" customWidth="1"/>
    <col min="28" max="28" width="12.08984375" style="3366" customWidth="1"/>
    <col min="29" max="29" width="1.81640625" style="2213" customWidth="1"/>
    <col min="30" max="30" width="13.81640625" style="2213" customWidth="1"/>
    <col min="31" max="31" width="1" style="2213" customWidth="1"/>
    <col min="32" max="32" width="1" style="2211" customWidth="1"/>
    <col min="33" max="33" width="13.08984375" style="2211" bestFit="1" customWidth="1"/>
    <col min="34" max="34" width="1.81640625" style="2211" customWidth="1"/>
    <col min="35" max="35" width="12.81640625" style="2214" customWidth="1"/>
    <col min="36" max="36" width="19.08984375" style="2211" customWidth="1"/>
    <col min="37" max="16384" width="8.81640625" style="2211"/>
  </cols>
  <sheetData>
    <row r="1" spans="1:38" ht="15">
      <c r="A1" s="2210" t="s">
        <v>881</v>
      </c>
    </row>
    <row r="2" spans="1:38" ht="15">
      <c r="A2" s="2210"/>
    </row>
    <row r="3" spans="1:38" ht="21">
      <c r="A3" s="2215" t="s">
        <v>0</v>
      </c>
      <c r="B3" s="2216"/>
      <c r="C3" s="2216"/>
      <c r="D3" s="2216"/>
      <c r="E3" s="2216"/>
      <c r="F3" s="2216"/>
      <c r="G3" s="2216"/>
      <c r="H3" s="2216"/>
      <c r="I3" s="2216"/>
      <c r="J3" s="2216"/>
      <c r="K3" s="2216"/>
      <c r="L3" s="2216"/>
      <c r="M3" s="2216"/>
      <c r="N3" s="2216"/>
      <c r="O3" s="2216"/>
      <c r="P3" s="2216"/>
      <c r="Q3" s="2216"/>
      <c r="R3" s="2216"/>
      <c r="S3" s="2216"/>
      <c r="T3" s="2216"/>
      <c r="U3" s="2216"/>
      <c r="V3" s="2216"/>
      <c r="W3" s="2216"/>
      <c r="X3" s="3325"/>
      <c r="Y3" s="2216"/>
      <c r="Z3" s="2216"/>
      <c r="AA3" s="2216"/>
      <c r="AB3" s="3325"/>
      <c r="AC3" s="3325"/>
      <c r="AD3" s="3325"/>
      <c r="AE3" s="2216"/>
      <c r="AF3" s="2216"/>
      <c r="AG3" s="2216"/>
      <c r="AH3" s="2216"/>
      <c r="AI3" s="2217" t="s">
        <v>1461</v>
      </c>
      <c r="AJ3" s="2218"/>
    </row>
    <row r="4" spans="1:38" ht="20.25" customHeight="1">
      <c r="A4" s="3948" t="s">
        <v>1</v>
      </c>
      <c r="B4" s="3949"/>
      <c r="C4" s="3949"/>
      <c r="D4" s="3949"/>
      <c r="E4" s="3949"/>
      <c r="F4" s="3949"/>
      <c r="G4" s="3949"/>
      <c r="H4" s="3949"/>
      <c r="I4" s="3949"/>
      <c r="J4" s="3949"/>
      <c r="K4" s="3949"/>
      <c r="L4" s="3949"/>
      <c r="M4" s="3949"/>
      <c r="N4" s="3949"/>
      <c r="O4" s="3949"/>
      <c r="P4" s="3949"/>
      <c r="Q4" s="3949"/>
      <c r="R4" s="3949"/>
      <c r="S4" s="3949"/>
      <c r="T4" s="3949"/>
      <c r="U4" s="3949"/>
      <c r="V4" s="3949"/>
      <c r="W4" s="3949"/>
      <c r="X4" s="3949"/>
      <c r="Y4" s="3949"/>
      <c r="Z4" s="3949"/>
      <c r="AA4" s="3949"/>
      <c r="AB4" s="3949"/>
      <c r="AC4" s="3949"/>
      <c r="AD4" s="3949"/>
      <c r="AE4" s="3949"/>
      <c r="AF4" s="3949"/>
      <c r="AG4" s="3949"/>
      <c r="AH4" s="3949"/>
      <c r="AI4" s="3949"/>
      <c r="AJ4" s="2218"/>
    </row>
    <row r="5" spans="1:38" ht="21">
      <c r="A5" s="3948" t="s">
        <v>794</v>
      </c>
      <c r="B5" s="3950"/>
      <c r="C5" s="3950"/>
      <c r="D5" s="3950"/>
      <c r="E5" s="3950"/>
      <c r="F5" s="3950"/>
      <c r="G5" s="3950"/>
      <c r="H5" s="3950"/>
      <c r="I5" s="3950"/>
      <c r="J5" s="3950"/>
      <c r="K5" s="3950"/>
      <c r="L5" s="3950"/>
      <c r="M5" s="3950"/>
      <c r="N5" s="3950"/>
      <c r="O5" s="3950"/>
      <c r="P5" s="3950"/>
      <c r="Q5" s="3950"/>
      <c r="R5" s="3950"/>
      <c r="S5" s="3950"/>
      <c r="T5" s="3950"/>
      <c r="U5" s="3950"/>
      <c r="V5" s="3950"/>
      <c r="W5" s="3950"/>
      <c r="X5" s="3950"/>
      <c r="Y5" s="3950"/>
      <c r="Z5" s="3950"/>
      <c r="AA5" s="3950"/>
      <c r="AB5" s="3950"/>
      <c r="AC5" s="3950"/>
      <c r="AD5" s="3950"/>
      <c r="AE5" s="3949"/>
      <c r="AF5" s="3949"/>
      <c r="AG5" s="3949"/>
      <c r="AH5" s="3949"/>
      <c r="AI5" s="3949"/>
      <c r="AJ5" s="2218"/>
    </row>
    <row r="6" spans="1:38" ht="21" customHeight="1">
      <c r="A6" s="3948" t="s">
        <v>1263</v>
      </c>
      <c r="B6" s="3949"/>
      <c r="C6" s="3949"/>
      <c r="D6" s="3949"/>
      <c r="E6" s="3949"/>
      <c r="F6" s="3949"/>
      <c r="G6" s="3949"/>
      <c r="H6" s="3949"/>
      <c r="I6" s="3949"/>
      <c r="J6" s="3949"/>
      <c r="K6" s="3949"/>
      <c r="L6" s="3949"/>
      <c r="M6" s="3949"/>
      <c r="N6" s="3949"/>
      <c r="O6" s="3949"/>
      <c r="P6" s="3949"/>
      <c r="Q6" s="3949"/>
      <c r="R6" s="3949"/>
      <c r="S6" s="3949"/>
      <c r="T6" s="3949"/>
      <c r="U6" s="3949"/>
      <c r="V6" s="3949"/>
      <c r="W6" s="3949"/>
      <c r="X6" s="3949"/>
      <c r="Y6" s="3949"/>
      <c r="Z6" s="3949"/>
      <c r="AA6" s="3949"/>
      <c r="AB6" s="3949"/>
      <c r="AC6" s="3949"/>
      <c r="AD6" s="3949"/>
      <c r="AE6" s="3949"/>
      <c r="AF6" s="3949"/>
      <c r="AG6" s="3949"/>
      <c r="AH6" s="3949"/>
      <c r="AI6" s="3949"/>
      <c r="AJ6" s="2218"/>
    </row>
    <row r="7" spans="1:38" ht="15.6">
      <c r="A7" s="1"/>
      <c r="B7" s="1"/>
      <c r="C7" s="1"/>
      <c r="D7" s="2219"/>
      <c r="E7" s="1"/>
      <c r="F7" s="1"/>
      <c r="G7" s="1"/>
      <c r="H7" s="2220"/>
      <c r="I7" s="2"/>
      <c r="J7" s="2"/>
      <c r="K7" s="2"/>
      <c r="L7" s="2220"/>
      <c r="M7" s="1"/>
      <c r="N7" s="2"/>
      <c r="O7" s="2"/>
      <c r="P7" s="2"/>
      <c r="Q7" s="2"/>
      <c r="R7" s="2"/>
      <c r="S7" s="1"/>
      <c r="T7" s="1"/>
      <c r="U7" s="1"/>
      <c r="V7" s="2219"/>
      <c r="W7" s="1"/>
      <c r="X7" s="2226"/>
      <c r="Y7" s="1"/>
      <c r="Z7" s="1"/>
      <c r="AA7" s="1"/>
      <c r="AB7" s="3367"/>
      <c r="AC7" s="2226"/>
      <c r="AD7" s="2221"/>
      <c r="AE7" s="2221"/>
      <c r="AF7" s="2222"/>
      <c r="AG7" s="2222"/>
      <c r="AJ7" s="2218"/>
      <c r="AK7" s="2218"/>
      <c r="AL7" s="2218"/>
    </row>
    <row r="8" spans="1:38" ht="16.350000000000001" customHeight="1">
      <c r="A8" s="2"/>
      <c r="B8" s="1"/>
      <c r="C8" s="1"/>
      <c r="D8" s="2220"/>
      <c r="E8" s="1"/>
      <c r="F8" s="1"/>
      <c r="G8" s="1"/>
      <c r="H8" s="2220"/>
      <c r="I8" s="2"/>
      <c r="J8" s="2"/>
      <c r="K8" s="2"/>
      <c r="L8" s="2220"/>
      <c r="M8" s="1"/>
      <c r="N8" s="2"/>
      <c r="O8" s="2"/>
      <c r="P8" s="2"/>
      <c r="Q8" s="2"/>
      <c r="R8" s="2"/>
      <c r="S8" s="1"/>
      <c r="T8" s="1"/>
      <c r="U8" s="1"/>
      <c r="V8" s="2219"/>
      <c r="W8" s="1"/>
      <c r="X8" s="2226"/>
      <c r="Y8" s="1"/>
      <c r="Z8" s="1"/>
      <c r="AA8" s="1"/>
      <c r="AB8" s="3367"/>
      <c r="AC8" s="2226"/>
      <c r="AD8" s="2223"/>
      <c r="AE8" s="2223"/>
      <c r="AF8" s="2224"/>
      <c r="AG8" s="2224"/>
      <c r="AI8" s="2218"/>
      <c r="AJ8" s="2218"/>
      <c r="AK8" s="2218"/>
      <c r="AL8" s="2218"/>
    </row>
    <row r="9" spans="1:38" ht="16.350000000000001" customHeight="1">
      <c r="A9" s="1"/>
      <c r="B9" s="1"/>
      <c r="C9" s="1"/>
      <c r="D9" s="1"/>
      <c r="E9" s="1"/>
      <c r="F9" s="1"/>
      <c r="G9" s="1"/>
      <c r="H9" s="2"/>
      <c r="I9" s="2"/>
      <c r="J9" s="2"/>
      <c r="K9" s="2"/>
      <c r="L9" s="2"/>
      <c r="M9" s="1"/>
      <c r="N9" s="2"/>
      <c r="O9" s="2"/>
      <c r="P9" s="2"/>
      <c r="Q9" s="2"/>
      <c r="R9" s="2"/>
      <c r="S9" s="1"/>
      <c r="T9" s="1"/>
      <c r="U9" s="2225"/>
      <c r="V9" s="1"/>
      <c r="W9" s="1"/>
      <c r="X9" s="2226"/>
      <c r="Y9" s="1"/>
      <c r="Z9" s="1"/>
      <c r="AA9" s="1"/>
      <c r="AB9" s="2226"/>
      <c r="AC9" s="2226"/>
      <c r="AD9" s="2227"/>
      <c r="AE9" s="2227"/>
      <c r="AF9" s="2228"/>
      <c r="AG9" s="2228"/>
      <c r="AI9" s="2210"/>
      <c r="AJ9" s="2218"/>
      <c r="AK9" s="2218"/>
      <c r="AL9" s="2218"/>
    </row>
    <row r="10" spans="1:38" ht="16.350000000000001" customHeight="1">
      <c r="A10" s="2229"/>
      <c r="B10" s="2229"/>
      <c r="C10" s="2229"/>
      <c r="D10" s="3" t="s">
        <v>2</v>
      </c>
      <c r="E10" s="3"/>
      <c r="F10" s="3"/>
      <c r="G10" s="2228"/>
      <c r="H10" s="3" t="s">
        <v>3</v>
      </c>
      <c r="I10" s="3"/>
      <c r="J10" s="3"/>
      <c r="K10" s="2228"/>
      <c r="L10" s="3" t="s">
        <v>4</v>
      </c>
      <c r="M10" s="3"/>
      <c r="N10" s="3"/>
      <c r="O10" s="2228"/>
      <c r="P10" s="3" t="s">
        <v>5</v>
      </c>
      <c r="Q10" s="3"/>
      <c r="R10" s="3"/>
      <c r="S10" s="2228"/>
      <c r="T10" s="2230"/>
      <c r="U10" s="2230"/>
      <c r="V10" s="3951" t="s">
        <v>1366</v>
      </c>
      <c r="W10" s="3952"/>
      <c r="X10" s="3952"/>
      <c r="Y10" s="3952"/>
      <c r="Z10" s="3952"/>
      <c r="AA10" s="3952"/>
      <c r="AB10" s="3952"/>
      <c r="AC10" s="3952"/>
      <c r="AD10" s="3952"/>
      <c r="AE10" s="3952"/>
      <c r="AF10" s="3952"/>
      <c r="AG10" s="3952"/>
      <c r="AH10" s="3952"/>
      <c r="AI10" s="3952"/>
      <c r="AJ10" s="1413"/>
      <c r="AK10" s="2218"/>
      <c r="AL10" s="2218"/>
    </row>
    <row r="11" spans="1:38" ht="16.350000000000001" customHeight="1">
      <c r="A11" s="2229"/>
      <c r="B11" s="2229"/>
      <c r="C11" s="2229"/>
      <c r="D11" s="5" t="s">
        <v>6</v>
      </c>
      <c r="E11" s="5"/>
      <c r="F11" s="4" t="s">
        <v>1566</v>
      </c>
      <c r="G11" s="2224"/>
      <c r="H11" s="5" t="s">
        <v>6</v>
      </c>
      <c r="I11" s="5"/>
      <c r="J11" s="5" t="str">
        <f>F11</f>
        <v>10 MOS. ENDED</v>
      </c>
      <c r="K11" s="2224"/>
      <c r="L11" s="5" t="s">
        <v>6</v>
      </c>
      <c r="M11" s="5"/>
      <c r="N11" s="5" t="str">
        <f>F11</f>
        <v>10 MOS. ENDED</v>
      </c>
      <c r="O11" s="2224"/>
      <c r="P11" s="5" t="s">
        <v>6</v>
      </c>
      <c r="Q11" s="5"/>
      <c r="R11" s="5" t="str">
        <f>J11</f>
        <v>10 MOS. ENDED</v>
      </c>
      <c r="S11" s="2224"/>
      <c r="T11" s="2224"/>
      <c r="U11" s="2231"/>
      <c r="V11" s="5" t="s">
        <v>6</v>
      </c>
      <c r="W11" s="5"/>
      <c r="X11" s="3887" t="str">
        <f>F11</f>
        <v>10 MOS. ENDED</v>
      </c>
      <c r="Y11" s="5"/>
      <c r="Z11" s="5"/>
      <c r="AA11" s="5"/>
      <c r="AB11" s="3849" t="s">
        <v>6</v>
      </c>
      <c r="AC11" s="3849"/>
      <c r="AD11" s="3849" t="str">
        <f>F11</f>
        <v>10 MOS. ENDED</v>
      </c>
      <c r="AE11" s="2232"/>
      <c r="AF11" s="5"/>
      <c r="AG11" s="5" t="s">
        <v>7</v>
      </c>
      <c r="AH11" s="2233"/>
      <c r="AI11" s="5" t="s">
        <v>8</v>
      </c>
      <c r="AJ11" s="2218"/>
      <c r="AK11" s="2218"/>
      <c r="AL11" s="2218"/>
    </row>
    <row r="12" spans="1:38" ht="16.350000000000001" customHeight="1">
      <c r="A12" s="2229"/>
      <c r="B12" s="2229"/>
      <c r="C12" s="2229"/>
      <c r="D12" s="892" t="s">
        <v>1568</v>
      </c>
      <c r="E12" s="2224"/>
      <c r="F12" s="892" t="s">
        <v>1569</v>
      </c>
      <c r="G12" s="2224"/>
      <c r="H12" s="6" t="str">
        <f>D12</f>
        <v>JAN. 2022</v>
      </c>
      <c r="I12" s="2224"/>
      <c r="J12" s="6" t="str">
        <f>F12</f>
        <v>JAN. 31, 2022</v>
      </c>
      <c r="K12" s="2224"/>
      <c r="L12" s="6" t="str">
        <f>D12</f>
        <v>JAN. 2022</v>
      </c>
      <c r="M12" s="2224"/>
      <c r="N12" s="6" t="str">
        <f>F12</f>
        <v>JAN. 31, 2022</v>
      </c>
      <c r="O12" s="2224"/>
      <c r="P12" s="6" t="str">
        <f>D12</f>
        <v>JAN. 2022</v>
      </c>
      <c r="Q12" s="2224"/>
      <c r="R12" s="6" t="str">
        <f>J12</f>
        <v>JAN. 31, 2022</v>
      </c>
      <c r="S12" s="2224"/>
      <c r="T12" s="2224"/>
      <c r="U12" s="2234"/>
      <c r="V12" s="6" t="str">
        <f>D12</f>
        <v>JAN. 2022</v>
      </c>
      <c r="W12" s="2224"/>
      <c r="X12" s="2330" t="str">
        <f>F12</f>
        <v>JAN. 31, 2022</v>
      </c>
      <c r="Y12" s="2224"/>
      <c r="Z12" s="2224"/>
      <c r="AA12" s="2224"/>
      <c r="AB12" s="3364" t="s">
        <v>1565</v>
      </c>
      <c r="AC12" s="2329"/>
      <c r="AD12" s="3364" t="s">
        <v>1567</v>
      </c>
      <c r="AE12" s="4"/>
      <c r="AF12" s="4"/>
      <c r="AG12" s="6" t="s">
        <v>11</v>
      </c>
      <c r="AH12" s="2210"/>
      <c r="AI12" s="892" t="s">
        <v>12</v>
      </c>
      <c r="AJ12" s="1413"/>
      <c r="AK12" s="2218"/>
      <c r="AL12" s="2218"/>
    </row>
    <row r="13" spans="1:38" ht="16.350000000000001" customHeight="1">
      <c r="A13" s="2228" t="s">
        <v>13</v>
      </c>
      <c r="B13" s="2229"/>
      <c r="C13" s="2229"/>
      <c r="D13" s="2235" t="s">
        <v>14</v>
      </c>
      <c r="E13" s="2229"/>
      <c r="F13" s="7"/>
      <c r="G13" s="2229"/>
      <c r="H13" s="2235" t="s">
        <v>14</v>
      </c>
      <c r="I13" s="2229"/>
      <c r="J13" s="7"/>
      <c r="K13" s="2229"/>
      <c r="L13" s="2235" t="s">
        <v>14</v>
      </c>
      <c r="M13" s="2229"/>
      <c r="N13" s="7"/>
      <c r="O13" s="2229"/>
      <c r="P13" s="606" t="s">
        <v>14</v>
      </c>
      <c r="Q13" s="2236"/>
      <c r="R13" s="606"/>
      <c r="S13" s="2237"/>
      <c r="T13" s="2237"/>
      <c r="U13" s="7"/>
      <c r="V13" s="2235"/>
      <c r="W13" s="2229"/>
      <c r="X13" s="2239"/>
      <c r="Y13" s="2237"/>
      <c r="Z13" s="2238"/>
      <c r="AA13" s="7"/>
      <c r="AB13" s="3368"/>
      <c r="AC13" s="2274"/>
      <c r="AD13" s="2239"/>
      <c r="AE13" s="2239"/>
      <c r="AF13" s="2240"/>
      <c r="AG13" s="7"/>
      <c r="AI13" s="1413"/>
      <c r="AJ13" s="1413"/>
      <c r="AK13" s="2218"/>
      <c r="AL13" s="2218"/>
    </row>
    <row r="14" spans="1:38" ht="18" customHeight="1">
      <c r="A14" s="2236" t="s">
        <v>1458</v>
      </c>
      <c r="B14" s="2262" t="s">
        <v>1527</v>
      </c>
      <c r="C14" s="2229"/>
      <c r="D14" s="1350">
        <f>+'Exhibit F'!V26</f>
        <v>3366.5</v>
      </c>
      <c r="E14" s="2242" t="s">
        <v>14</v>
      </c>
      <c r="F14" s="647">
        <f>+'Exhibit F'!AC26</f>
        <v>27869.9</v>
      </c>
      <c r="G14" s="2242"/>
      <c r="H14" s="1350">
        <f>'Exhibit G'!V17</f>
        <v>1850</v>
      </c>
      <c r="I14" s="2243"/>
      <c r="J14" s="647">
        <f>'Exhibit G'!AD17</f>
        <v>1866.1</v>
      </c>
      <c r="K14" s="2242"/>
      <c r="L14" s="1408">
        <f>+'Exhibit H'!T16</f>
        <v>5216.4999999999982</v>
      </c>
      <c r="M14" s="647"/>
      <c r="N14" s="647">
        <f>+'Exhibit H'!AA16</f>
        <v>29736</v>
      </c>
      <c r="O14" s="647"/>
      <c r="P14" s="663">
        <v>0</v>
      </c>
      <c r="Q14" s="1350"/>
      <c r="R14" s="663">
        <v>0</v>
      </c>
      <c r="S14" s="2244"/>
      <c r="T14" s="2244"/>
      <c r="U14" s="2245"/>
      <c r="V14" s="1767">
        <f>ROUND(SUM(D14)+SUM(H14)+SUM(L14)+SUM(P14),1)</f>
        <v>10433</v>
      </c>
      <c r="W14" s="2337" t="s">
        <v>14</v>
      </c>
      <c r="X14" s="2337">
        <f>ROUND(SUM(F14)+SUM(J14)+SUM(N14)+SUM(R14),1)</f>
        <v>59472</v>
      </c>
      <c r="Y14" s="3868"/>
      <c r="Z14" s="2246"/>
      <c r="AA14" s="2247"/>
      <c r="AB14" s="3369">
        <v>9453</v>
      </c>
      <c r="AC14" s="3326"/>
      <c r="AD14" s="1786">
        <f>'Exhibit F'!AF26+'Exhibit G'!AG17+'Exhibit H'!AD16</f>
        <v>46251.199999999997</v>
      </c>
      <c r="AE14" s="1786"/>
      <c r="AF14" s="2248"/>
      <c r="AG14" s="2242">
        <f t="shared" ref="AG14:AG19" si="0">ROUND(SUM(X14-AD14),1)</f>
        <v>13220.8</v>
      </c>
      <c r="AH14" s="2249"/>
      <c r="AI14" s="1410">
        <f t="shared" ref="AI14:AI19" si="1">ROUND(SUM((+X14-AD14)/ABS(AD14)),3)</f>
        <v>0.28599999999999998</v>
      </c>
      <c r="AJ14" s="2250"/>
      <c r="AK14" s="2218"/>
      <c r="AL14" s="2218"/>
    </row>
    <row r="15" spans="1:38" ht="18" customHeight="1">
      <c r="A15" s="2229" t="s">
        <v>16</v>
      </c>
      <c r="B15" s="2241" t="s">
        <v>14</v>
      </c>
      <c r="C15" s="2229"/>
      <c r="D15" s="608">
        <f>+'Exhibit F'!V36</f>
        <v>408.8</v>
      </c>
      <c r="E15" s="9"/>
      <c r="F15" s="9">
        <f>+'Exhibit F'!AC36</f>
        <v>3963.9</v>
      </c>
      <c r="G15" s="9"/>
      <c r="H15" s="608">
        <f>'Exhibit G'!V28</f>
        <v>151.1</v>
      </c>
      <c r="I15" s="9"/>
      <c r="J15" s="9">
        <f>+'Exhibit G'!AD28</f>
        <v>1680.2</v>
      </c>
      <c r="K15" s="9"/>
      <c r="L15" s="1407">
        <f>'Exhibit H'!T20</f>
        <v>1039.9000000000001</v>
      </c>
      <c r="M15" s="9"/>
      <c r="N15" s="9">
        <f>+'Exhibit H'!AA20</f>
        <v>10304.200000000001</v>
      </c>
      <c r="O15" s="9"/>
      <c r="P15" s="1407">
        <f>'Exhibit I'!W23</f>
        <v>35</v>
      </c>
      <c r="Q15" s="608"/>
      <c r="R15" s="1407">
        <f>+'Exhibit I'!AF23</f>
        <v>513.70000000000005</v>
      </c>
      <c r="S15" s="2252"/>
      <c r="T15" s="2252"/>
      <c r="U15" s="14"/>
      <c r="V15" s="612">
        <f>ROUND(SUM(D15)+SUM(H15)+SUM(L15)+SUM(P15),1)</f>
        <v>1634.8</v>
      </c>
      <c r="W15" s="19" t="s">
        <v>14</v>
      </c>
      <c r="X15" s="19">
        <f t="shared" ref="X15:X19" si="2">ROUND(SUM(F15)+SUM(J15)+SUM(N15)+SUM(R15),1)</f>
        <v>16462</v>
      </c>
      <c r="Y15" s="2279"/>
      <c r="Z15" s="2253"/>
      <c r="AA15" s="14"/>
      <c r="AB15" s="2020">
        <v>1449.3999999999999</v>
      </c>
      <c r="AC15" s="19"/>
      <c r="AD15" s="2239">
        <f>'Exhibit F'!AF36+'Exhibit G'!AG28+'Exhibit H'!AD20+'Exhibit I'!AI23</f>
        <v>13493.1</v>
      </c>
      <c r="AE15" s="1409"/>
      <c r="AF15" s="2254"/>
      <c r="AG15" s="9">
        <f t="shared" si="0"/>
        <v>2968.9</v>
      </c>
      <c r="AI15" s="1410">
        <f t="shared" si="1"/>
        <v>0.22</v>
      </c>
      <c r="AJ15" s="2250"/>
      <c r="AK15" s="2218"/>
      <c r="AL15" s="2218"/>
    </row>
    <row r="16" spans="1:38" ht="18" customHeight="1">
      <c r="A16" s="2229" t="s">
        <v>17</v>
      </c>
      <c r="B16" s="2255"/>
      <c r="C16" s="2229"/>
      <c r="D16" s="608">
        <f>+'Exhibit F'!V44</f>
        <v>653.29999999999995</v>
      </c>
      <c r="E16" s="9"/>
      <c r="F16" s="9">
        <f>+'Exhibit F'!AC44</f>
        <v>11721.5</v>
      </c>
      <c r="G16" s="9"/>
      <c r="H16" s="608">
        <f>'Exhibit G'!V35</f>
        <v>76.099999999999994</v>
      </c>
      <c r="I16" s="9"/>
      <c r="J16" s="9">
        <f>'Exhibit G'!AD35</f>
        <v>1755</v>
      </c>
      <c r="K16" s="9"/>
      <c r="L16" s="1407">
        <f>'Exhibit H'!T23</f>
        <v>448.6</v>
      </c>
      <c r="M16" s="9"/>
      <c r="N16" s="9">
        <f>+'Exhibit H'!AA23</f>
        <v>5530.3</v>
      </c>
      <c r="O16" s="9"/>
      <c r="P16" s="1407">
        <f>'Exhibit I'!W28</f>
        <v>48.4</v>
      </c>
      <c r="Q16" s="608"/>
      <c r="R16" s="1407">
        <f>'Exhibit I'!AF28</f>
        <v>494.7</v>
      </c>
      <c r="S16" s="2252"/>
      <c r="T16" s="2252"/>
      <c r="U16" s="14"/>
      <c r="V16" s="612">
        <f t="shared" ref="V16:V19" si="3">ROUND(SUM(D16)+SUM(H16)+SUM(L16)+SUM(P16),1)</f>
        <v>1226.4000000000001</v>
      </c>
      <c r="W16" s="19" t="s">
        <v>14</v>
      </c>
      <c r="X16" s="19">
        <f t="shared" si="2"/>
        <v>19501.5</v>
      </c>
      <c r="Y16" s="2279"/>
      <c r="Z16" s="2253"/>
      <c r="AA16" s="14"/>
      <c r="AB16" s="2020">
        <v>117.4</v>
      </c>
      <c r="AC16" s="19"/>
      <c r="AD16" s="2239">
        <f>'Exhibit F'!AF44+'Exhibit G'!AG35+'Exhibit I'!AI28</f>
        <v>6248.3</v>
      </c>
      <c r="AE16" s="1409"/>
      <c r="AF16" s="2254"/>
      <c r="AG16" s="9">
        <f t="shared" si="0"/>
        <v>13253.2</v>
      </c>
      <c r="AI16" s="1410">
        <f t="shared" si="1"/>
        <v>2.121</v>
      </c>
      <c r="AJ16" s="2250"/>
      <c r="AK16" s="2218"/>
      <c r="AL16" s="2218"/>
    </row>
    <row r="17" spans="1:38" ht="18" customHeight="1">
      <c r="A17" s="2229" t="s">
        <v>18</v>
      </c>
      <c r="B17" s="2241" t="s">
        <v>14</v>
      </c>
      <c r="C17" s="2229"/>
      <c r="D17" s="608">
        <f>+'Exhibit F'!V52</f>
        <v>127.1</v>
      </c>
      <c r="E17" s="9"/>
      <c r="F17" s="9">
        <f>+'Exhibit F'!AC52</f>
        <v>1188.2</v>
      </c>
      <c r="G17" s="9"/>
      <c r="H17" s="608">
        <v>0</v>
      </c>
      <c r="I17" s="9"/>
      <c r="J17" s="9">
        <v>0</v>
      </c>
      <c r="K17" s="9"/>
      <c r="L17" s="1407">
        <f>'Exhibit H'!T27</f>
        <v>169.7</v>
      </c>
      <c r="M17" s="9"/>
      <c r="N17" s="9">
        <f>+'Exhibit H'!AA27</f>
        <v>1287.3999999999999</v>
      </c>
      <c r="O17" s="9"/>
      <c r="P17" s="1407">
        <f>'Exhibit I'!W31</f>
        <v>11.9</v>
      </c>
      <c r="Q17" s="608"/>
      <c r="R17" s="1407">
        <f>'Exhibit I'!AF31</f>
        <v>95.3</v>
      </c>
      <c r="S17" s="2252"/>
      <c r="T17" s="2252"/>
      <c r="U17" s="14"/>
      <c r="V17" s="612">
        <f t="shared" si="3"/>
        <v>308.7</v>
      </c>
      <c r="W17" s="19" t="s">
        <v>14</v>
      </c>
      <c r="X17" s="19">
        <f t="shared" si="2"/>
        <v>2570.9</v>
      </c>
      <c r="Y17" s="2279"/>
      <c r="Z17" s="2253"/>
      <c r="AA17" s="14"/>
      <c r="AB17" s="2020">
        <v>417.59999999999997</v>
      </c>
      <c r="AC17" s="19"/>
      <c r="AD17" s="1409">
        <f>'Exhibit F'!AF52+'Exhibit H'!AD27+'Exhibit I'!AI31</f>
        <v>2030.8999999999999</v>
      </c>
      <c r="AE17" s="1409"/>
      <c r="AF17" s="2254"/>
      <c r="AG17" s="9">
        <f t="shared" si="0"/>
        <v>540</v>
      </c>
      <c r="AI17" s="1410">
        <f t="shared" si="1"/>
        <v>0.26600000000000001</v>
      </c>
      <c r="AJ17" s="3865"/>
      <c r="AK17" s="2218"/>
      <c r="AL17" s="2218"/>
    </row>
    <row r="18" spans="1:38" ht="18" customHeight="1">
      <c r="A18" s="2229" t="s">
        <v>19</v>
      </c>
      <c r="B18" s="2241" t="s">
        <v>14</v>
      </c>
      <c r="C18" s="2229"/>
      <c r="D18" s="608">
        <f>+'Exhibit F'!V93</f>
        <v>171.7</v>
      </c>
      <c r="E18" s="9"/>
      <c r="F18" s="9">
        <f>+'Exhibit F'!AC93</f>
        <v>1805.8</v>
      </c>
      <c r="G18" s="9"/>
      <c r="H18" s="608">
        <f>'Exhibit G'!V81</f>
        <v>1641</v>
      </c>
      <c r="I18" s="9"/>
      <c r="J18" s="19">
        <f>+'Exhibit G'!AD81</f>
        <v>15627.5</v>
      </c>
      <c r="K18" s="19"/>
      <c r="L18" s="3428">
        <f>+'Exhibit H'!T50</f>
        <v>48.6</v>
      </c>
      <c r="M18" s="19"/>
      <c r="N18" s="19">
        <f>+'Exhibit H'!AA50</f>
        <v>366.8</v>
      </c>
      <c r="O18" s="19"/>
      <c r="P18" s="3428">
        <f>+'Exhibit I'!W61</f>
        <v>192.9</v>
      </c>
      <c r="Q18" s="612"/>
      <c r="R18" s="612">
        <f>+'Exhibit I'!AF61</f>
        <v>3294.8</v>
      </c>
      <c r="S18" s="2279"/>
      <c r="T18" s="2279"/>
      <c r="U18" s="1409"/>
      <c r="V18" s="612">
        <f>ROUND(SUM(D18)+SUM(H18)+SUM(L18)+SUM(P18),1)</f>
        <v>2054.1999999999998</v>
      </c>
      <c r="W18" s="19" t="s">
        <v>14</v>
      </c>
      <c r="X18" s="19">
        <f t="shared" si="2"/>
        <v>21094.9</v>
      </c>
      <c r="Y18" s="2279"/>
      <c r="Z18" s="2280"/>
      <c r="AA18" s="1409"/>
      <c r="AB18" s="2020">
        <v>1752.6999999999998</v>
      </c>
      <c r="AC18" s="19"/>
      <c r="AD18" s="1409">
        <f>'Exhibit F'!AF93+'Exhibit G'!AG81+'Exhibit H'!AD50+'Exhibit I'!AI61</f>
        <v>25732.699999999997</v>
      </c>
      <c r="AE18" s="1409"/>
      <c r="AF18" s="2254"/>
      <c r="AG18" s="9">
        <f t="shared" si="0"/>
        <v>-4637.8</v>
      </c>
      <c r="AI18" s="1410">
        <f t="shared" si="1"/>
        <v>-0.18</v>
      </c>
      <c r="AJ18" s="3865"/>
      <c r="AK18" s="2210"/>
      <c r="AL18" s="2218"/>
    </row>
    <row r="19" spans="1:38" ht="18" customHeight="1">
      <c r="A19" s="2229" t="s">
        <v>20</v>
      </c>
      <c r="B19" s="2256"/>
      <c r="C19" s="2229"/>
      <c r="D19" s="608">
        <f>+'Exhibit F'!V95</f>
        <v>0</v>
      </c>
      <c r="E19" s="14"/>
      <c r="F19" s="9">
        <f>+'Exhibit F'!AC95</f>
        <v>0</v>
      </c>
      <c r="G19" s="9"/>
      <c r="H19" s="608">
        <f>'Exhibit G'!V83</f>
        <v>5556.1</v>
      </c>
      <c r="I19" s="9"/>
      <c r="J19" s="19">
        <f>+'Exhibit G'!AD83</f>
        <v>80056.7</v>
      </c>
      <c r="K19" s="19"/>
      <c r="L19" s="3428">
        <f>+'Exhibit H'!T52</f>
        <v>1.5000000000000036</v>
      </c>
      <c r="M19" s="1409"/>
      <c r="N19" s="19">
        <f>+'Exhibit H'!AA52</f>
        <v>33.200000000000003</v>
      </c>
      <c r="O19" s="19"/>
      <c r="P19" s="3428">
        <f>+'Exhibit I'!W63</f>
        <v>177.99999999999994</v>
      </c>
      <c r="Q19" s="612"/>
      <c r="R19" s="612">
        <f>+'Exhibit I'!AF63</f>
        <v>1564.3</v>
      </c>
      <c r="S19" s="2279"/>
      <c r="T19" s="2279"/>
      <c r="U19" s="1409"/>
      <c r="V19" s="1406">
        <f t="shared" si="3"/>
        <v>5735.6</v>
      </c>
      <c r="W19" s="19" t="s">
        <v>14</v>
      </c>
      <c r="X19" s="1409">
        <f t="shared" si="2"/>
        <v>81654.2</v>
      </c>
      <c r="Y19" s="2279"/>
      <c r="Z19" s="2280"/>
      <c r="AA19" s="1409"/>
      <c r="AB19" s="2020">
        <v>5908.6</v>
      </c>
      <c r="AC19" s="19"/>
      <c r="AD19" s="1409">
        <f>'Exhibit F'!AF95+'Exhibit G'!AG83+'Exhibit H'!AD52+'Exhibit I'!AI63</f>
        <v>68074.699999999983</v>
      </c>
      <c r="AE19" s="1409"/>
      <c r="AF19" s="2254"/>
      <c r="AG19" s="9">
        <f t="shared" si="0"/>
        <v>13579.5</v>
      </c>
      <c r="AI19" s="1410">
        <f t="shared" si="1"/>
        <v>0.19900000000000001</v>
      </c>
      <c r="AJ19" s="2250"/>
      <c r="AK19" s="2218"/>
      <c r="AL19" s="2218"/>
    </row>
    <row r="20" spans="1:38" ht="18" customHeight="1">
      <c r="A20" s="2228" t="s">
        <v>21</v>
      </c>
      <c r="B20" s="2229"/>
      <c r="C20" s="2229"/>
      <c r="D20" s="11">
        <f>ROUND(SUM(D14:D19),1)</f>
        <v>4727.3999999999996</v>
      </c>
      <c r="E20" s="2257"/>
      <c r="F20" s="11">
        <f>ROUND(SUM(F14:F19),1)</f>
        <v>46549.3</v>
      </c>
      <c r="G20" s="1351"/>
      <c r="H20" s="1539">
        <f>ROUND(SUM(H14:H19),1)</f>
        <v>9274.2999999999993</v>
      </c>
      <c r="I20" s="1351"/>
      <c r="J20" s="1539">
        <f>ROUND(SUM(J14:J19),1)</f>
        <v>100985.5</v>
      </c>
      <c r="K20" s="20"/>
      <c r="L20" s="3873">
        <f>ROUND(SUM(L14:L19),1)</f>
        <v>6924.8</v>
      </c>
      <c r="M20" s="20"/>
      <c r="N20" s="1539">
        <f>ROUND(SUM(N14:N19),1)</f>
        <v>47257.9</v>
      </c>
      <c r="O20" s="20"/>
      <c r="P20" s="1539">
        <f>ROUND(SUM(P14:P19),1)</f>
        <v>466.2</v>
      </c>
      <c r="Q20" s="20"/>
      <c r="R20" s="1539">
        <f>ROUND(SUM(R14:R19),1)</f>
        <v>5962.8</v>
      </c>
      <c r="S20" s="2283"/>
      <c r="T20" s="2283"/>
      <c r="U20" s="1462"/>
      <c r="V20" s="1539">
        <f>ROUND(SUM(V14:V19),1)</f>
        <v>21392.7</v>
      </c>
      <c r="W20" s="20"/>
      <c r="X20" s="1539">
        <f>ROUND(SUM(X14:X19),1)</f>
        <v>200755.5</v>
      </c>
      <c r="Y20" s="2283"/>
      <c r="Z20" s="2284"/>
      <c r="AA20" s="1462"/>
      <c r="AB20" s="1539">
        <f>ROUND(SUM(AB14:AB19),1)</f>
        <v>19098.7</v>
      </c>
      <c r="AC20" s="20"/>
      <c r="AD20" s="1539">
        <f>ROUND(SUM(AD14:AD19),1)</f>
        <v>161830.9</v>
      </c>
      <c r="AE20" s="1462"/>
      <c r="AF20" s="2259"/>
      <c r="AG20" s="12">
        <f>ROUND(SUM(AG14:AG19),1)</f>
        <v>38924.6</v>
      </c>
      <c r="AH20" s="2260"/>
      <c r="AI20" s="1426">
        <f>(+X20-AD20)/ABS(AD20)</f>
        <v>0.2405263766066926</v>
      </c>
      <c r="AJ20" s="2261"/>
      <c r="AK20" s="2218"/>
      <c r="AL20" s="2218"/>
    </row>
    <row r="21" spans="1:38" ht="16.350000000000001" customHeight="1">
      <c r="A21" s="2228"/>
      <c r="B21" s="2229"/>
      <c r="C21" s="2229"/>
      <c r="D21" s="609"/>
      <c r="E21" s="14"/>
      <c r="F21" s="14"/>
      <c r="G21" s="9"/>
      <c r="H21" s="609"/>
      <c r="I21" s="9"/>
      <c r="J21" s="1409"/>
      <c r="K21" s="19"/>
      <c r="L21" s="1406"/>
      <c r="M21" s="19"/>
      <c r="N21" s="1409"/>
      <c r="O21" s="19"/>
      <c r="P21" s="1406"/>
      <c r="Q21" s="612"/>
      <c r="R21" s="1406" t="s">
        <v>14</v>
      </c>
      <c r="S21" s="2279"/>
      <c r="T21" s="2279"/>
      <c r="U21" s="1409"/>
      <c r="V21" s="1406"/>
      <c r="W21" s="19"/>
      <c r="X21" s="1406"/>
      <c r="Y21" s="2279"/>
      <c r="Z21" s="2280"/>
      <c r="AA21" s="1409"/>
      <c r="AB21" s="1406"/>
      <c r="AC21" s="19"/>
      <c r="AD21" s="1409"/>
      <c r="AE21" s="1409"/>
      <c r="AF21" s="2254"/>
      <c r="AG21" s="14"/>
      <c r="AI21" s="1413"/>
      <c r="AJ21" s="7"/>
      <c r="AK21" s="2218"/>
      <c r="AL21" s="2218"/>
    </row>
    <row r="22" spans="1:38" ht="16.350000000000001" customHeight="1">
      <c r="A22" s="2228" t="s">
        <v>22</v>
      </c>
      <c r="B22" s="2229"/>
      <c r="C22" s="2229"/>
      <c r="D22" s="608"/>
      <c r="E22" s="9"/>
      <c r="F22" s="9"/>
      <c r="G22" s="9"/>
      <c r="H22" s="608"/>
      <c r="I22" s="9"/>
      <c r="J22" s="19"/>
      <c r="K22" s="19"/>
      <c r="L22" s="612"/>
      <c r="M22" s="19"/>
      <c r="N22" s="19"/>
      <c r="O22" s="19"/>
      <c r="P22" s="612"/>
      <c r="Q22" s="612"/>
      <c r="R22" s="612" t="s">
        <v>14</v>
      </c>
      <c r="S22" s="2279"/>
      <c r="T22" s="2279"/>
      <c r="U22" s="1409"/>
      <c r="V22" s="612"/>
      <c r="W22" s="19"/>
      <c r="X22" s="612" t="s">
        <v>14</v>
      </c>
      <c r="Y22" s="2279"/>
      <c r="Z22" s="2280"/>
      <c r="AA22" s="1409"/>
      <c r="AB22" s="612"/>
      <c r="AC22" s="19"/>
      <c r="AD22" s="1409"/>
      <c r="AE22" s="1409"/>
      <c r="AF22" s="2254"/>
      <c r="AG22" s="9"/>
      <c r="AI22" s="1413"/>
      <c r="AJ22" s="7"/>
      <c r="AK22" s="2218"/>
      <c r="AL22" s="2218"/>
    </row>
    <row r="23" spans="1:38" ht="16.350000000000001" customHeight="1">
      <c r="A23" s="2229" t="s">
        <v>23</v>
      </c>
      <c r="B23" s="2262" t="s">
        <v>14</v>
      </c>
      <c r="C23" s="2229"/>
      <c r="D23" s="611" t="s">
        <v>14</v>
      </c>
      <c r="E23" s="9"/>
      <c r="F23" s="10" t="s">
        <v>14</v>
      </c>
      <c r="G23" s="9"/>
      <c r="H23" s="610"/>
      <c r="I23" s="9"/>
      <c r="J23" s="2348"/>
      <c r="K23" s="19"/>
      <c r="L23" s="1769"/>
      <c r="M23" s="19"/>
      <c r="N23" s="2348"/>
      <c r="O23" s="19"/>
      <c r="P23" s="1769"/>
      <c r="Q23" s="612"/>
      <c r="R23" s="1769"/>
      <c r="S23" s="2279"/>
      <c r="T23" s="2279"/>
      <c r="U23" s="1409"/>
      <c r="V23" s="1769"/>
      <c r="W23" s="19"/>
      <c r="X23" s="2348"/>
      <c r="Y23" s="2279"/>
      <c r="Z23" s="2280"/>
      <c r="AA23" s="1409"/>
      <c r="AB23" s="1769"/>
      <c r="AC23" s="19"/>
      <c r="AD23" s="2348"/>
      <c r="AE23" s="1409"/>
      <c r="AF23" s="2254"/>
      <c r="AG23" s="15"/>
      <c r="AI23" s="2263"/>
      <c r="AJ23" s="7"/>
      <c r="AK23" s="2218"/>
      <c r="AL23" s="2218"/>
    </row>
    <row r="24" spans="1:38" ht="18" customHeight="1">
      <c r="A24" s="2264" t="s">
        <v>24</v>
      </c>
      <c r="B24" s="2229"/>
      <c r="C24" s="2229"/>
      <c r="D24" s="1354">
        <f>+'Exhibit F'!V101</f>
        <v>1133.2000000000007</v>
      </c>
      <c r="E24" s="9"/>
      <c r="F24" s="9">
        <f>+'Exhibit F'!AC101</f>
        <v>18213.400000000001</v>
      </c>
      <c r="G24" s="9"/>
      <c r="H24" s="1407">
        <f>'Exhibit G'!V89</f>
        <v>2291.2000000000007</v>
      </c>
      <c r="I24" s="9"/>
      <c r="J24" s="19">
        <f>+'Exhibit G'!AD89</f>
        <v>10216.9</v>
      </c>
      <c r="K24" s="19"/>
      <c r="L24" s="1770">
        <v>0</v>
      </c>
      <c r="M24" s="1409"/>
      <c r="N24" s="3764">
        <v>0</v>
      </c>
      <c r="O24" s="19"/>
      <c r="P24" s="3428">
        <f>'Exhibit I'!W69</f>
        <v>4.7000000000000171</v>
      </c>
      <c r="Q24" s="3428"/>
      <c r="R24" s="612">
        <f>+'Exhibit I'!AF69</f>
        <v>137.80000000000001</v>
      </c>
      <c r="S24" s="2279"/>
      <c r="T24" s="2279"/>
      <c r="U24" s="1409"/>
      <c r="V24" s="612">
        <f>ROUND(SUM(D24)+SUM(H24)+SUM(L24)+SUM(P24),1)</f>
        <v>3429.1</v>
      </c>
      <c r="W24" s="19" t="s">
        <v>14</v>
      </c>
      <c r="X24" s="19">
        <f>ROUND(SUM(F24)+SUM(J24)+SUM(N24)+SUM(R24),1)</f>
        <v>28568.1</v>
      </c>
      <c r="Y24" s="2279"/>
      <c r="Z24" s="2280"/>
      <c r="AA24" s="1409"/>
      <c r="AB24" s="2020">
        <v>2974.1</v>
      </c>
      <c r="AC24" s="19"/>
      <c r="AD24" s="1409">
        <f>'Exhibit F'!AF101+'Exhibit G'!AG89+'Exhibit I'!AI69</f>
        <v>24068.500000000004</v>
      </c>
      <c r="AE24" s="3874"/>
      <c r="AF24" s="2265"/>
      <c r="AG24" s="9">
        <f>ROUND(SUM(X24-AD24),1)</f>
        <v>4499.6000000000004</v>
      </c>
      <c r="AI24" s="1410">
        <f>ROUND(SUM((+X24-AD24)/ABS(AD24)),3)</f>
        <v>0.187</v>
      </c>
      <c r="AJ24" s="606"/>
      <c r="AK24" s="2218"/>
      <c r="AL24" s="2218"/>
    </row>
    <row r="25" spans="1:38" ht="18" customHeight="1">
      <c r="A25" s="2264" t="s">
        <v>25</v>
      </c>
      <c r="B25" s="2266"/>
      <c r="C25" s="2229"/>
      <c r="D25" s="1354">
        <f>+'Exhibit F'!V102</f>
        <v>0.10000000000000053</v>
      </c>
      <c r="E25" s="9"/>
      <c r="F25" s="9">
        <f>+'Exhibit F'!AC102</f>
        <v>6.4</v>
      </c>
      <c r="G25" s="9"/>
      <c r="H25" s="1407">
        <f>'Exhibit G'!V90</f>
        <v>0.89999999999999991</v>
      </c>
      <c r="I25" s="9"/>
      <c r="J25" s="19">
        <f>+'Exhibit G'!AD90</f>
        <v>4.3</v>
      </c>
      <c r="K25" s="19"/>
      <c r="L25" s="1770">
        <v>0</v>
      </c>
      <c r="M25" s="1409"/>
      <c r="N25" s="3764">
        <v>0</v>
      </c>
      <c r="O25" s="19"/>
      <c r="P25" s="3428">
        <f>'Exhibit I'!W70</f>
        <v>11.300000000000004</v>
      </c>
      <c r="Q25" s="3428"/>
      <c r="R25" s="612">
        <f>+'Exhibit I'!AF70</f>
        <v>291.89999999999998</v>
      </c>
      <c r="S25" s="2279"/>
      <c r="T25" s="2279"/>
      <c r="U25" s="1409"/>
      <c r="V25" s="612">
        <f t="shared" ref="V25:V32" si="4">ROUND(SUM(D25)+SUM(H25)+SUM(L25)+SUM(P25),1)</f>
        <v>12.3</v>
      </c>
      <c r="W25" s="19" t="s">
        <v>14</v>
      </c>
      <c r="X25" s="19">
        <f t="shared" ref="X25:X32" si="5">ROUND(SUM(F25)+SUM(J25)+SUM(N25)+SUM(R25),1)</f>
        <v>302.60000000000002</v>
      </c>
      <c r="Y25" s="2279"/>
      <c r="Z25" s="2280"/>
      <c r="AA25" s="1409"/>
      <c r="AB25" s="2020">
        <v>36.6</v>
      </c>
      <c r="AC25" s="3327"/>
      <c r="AD25" s="1409">
        <f>'Exhibit F'!AF102+'Exhibit G'!AG90+'Exhibit I'!AI70</f>
        <v>146.4</v>
      </c>
      <c r="AE25" s="1409"/>
      <c r="AF25" s="2254"/>
      <c r="AG25" s="9">
        <f t="shared" ref="AG25:AG33" si="6">ROUND(SUM(X25-AD25),1)</f>
        <v>156.19999999999999</v>
      </c>
      <c r="AI25" s="1410">
        <f t="shared" ref="AI25:AI32" si="7">ROUND(SUM((+X25-AD25)/ABS(AD25)),3)</f>
        <v>1.0669999999999999</v>
      </c>
      <c r="AJ25" s="7"/>
      <c r="AK25" s="2218"/>
      <c r="AL25" s="2218"/>
    </row>
    <row r="26" spans="1:38" ht="18" customHeight="1">
      <c r="A26" s="2264" t="s">
        <v>26</v>
      </c>
      <c r="B26" s="2267"/>
      <c r="C26" s="2229"/>
      <c r="D26" s="1354">
        <f>+'Exhibit F'!V103</f>
        <v>21.900000000000091</v>
      </c>
      <c r="E26" s="9"/>
      <c r="F26" s="9">
        <f>+'Exhibit F'!AC103</f>
        <v>935</v>
      </c>
      <c r="G26" s="9"/>
      <c r="H26" s="1407">
        <f>'Exhibit G'!V91</f>
        <v>18.700000000000038</v>
      </c>
      <c r="I26" s="9"/>
      <c r="J26" s="19">
        <f>+'Exhibit G'!AD91</f>
        <v>694.9</v>
      </c>
      <c r="K26" s="19"/>
      <c r="L26" s="1770">
        <v>0</v>
      </c>
      <c r="M26" s="1409"/>
      <c r="N26" s="3764">
        <v>0</v>
      </c>
      <c r="O26" s="19"/>
      <c r="P26" s="3428">
        <f>'Exhibit I'!W71</f>
        <v>19.199999999999989</v>
      </c>
      <c r="Q26" s="3428"/>
      <c r="R26" s="612">
        <f>+'Exhibit I'!AF71</f>
        <v>400.1</v>
      </c>
      <c r="S26" s="2279"/>
      <c r="T26" s="2279"/>
      <c r="U26" s="1409"/>
      <c r="V26" s="612">
        <f t="shared" si="4"/>
        <v>59.8</v>
      </c>
      <c r="W26" s="19" t="s">
        <v>14</v>
      </c>
      <c r="X26" s="19">
        <f t="shared" si="5"/>
        <v>2030</v>
      </c>
      <c r="Y26" s="2279"/>
      <c r="Z26" s="2280"/>
      <c r="AA26" s="1409"/>
      <c r="AB26" s="2020">
        <v>93.6</v>
      </c>
      <c r="AC26" s="19"/>
      <c r="AD26" s="1409">
        <f>'Exhibit F'!AF103+'Exhibit G'!AG91+'Exhibit I'!AI71</f>
        <v>5632.4</v>
      </c>
      <c r="AE26" s="1409"/>
      <c r="AF26" s="2254"/>
      <c r="AG26" s="9">
        <f t="shared" si="6"/>
        <v>-3602.4</v>
      </c>
      <c r="AI26" s="1410">
        <f t="shared" si="7"/>
        <v>-0.64</v>
      </c>
      <c r="AJ26" s="606"/>
      <c r="AK26" s="2218"/>
      <c r="AL26" s="2218"/>
    </row>
    <row r="27" spans="1:38" ht="18" customHeight="1">
      <c r="A27" s="2264" t="s">
        <v>27</v>
      </c>
      <c r="B27" s="2268"/>
      <c r="C27" s="2229"/>
      <c r="D27" s="608"/>
      <c r="E27" s="9"/>
      <c r="F27" s="9"/>
      <c r="G27" s="9"/>
      <c r="H27" s="1407"/>
      <c r="I27" s="9"/>
      <c r="J27" s="19" t="s">
        <v>14</v>
      </c>
      <c r="K27" s="19"/>
      <c r="L27" s="3875" t="s">
        <v>14</v>
      </c>
      <c r="M27" s="1409"/>
      <c r="N27" s="2344" t="s">
        <v>14</v>
      </c>
      <c r="O27" s="19"/>
      <c r="P27" s="3428"/>
      <c r="Q27" s="3428"/>
      <c r="R27" s="612"/>
      <c r="S27" s="2279"/>
      <c r="T27" s="2279"/>
      <c r="U27" s="1409"/>
      <c r="V27" s="612" t="s">
        <v>14</v>
      </c>
      <c r="W27" s="19"/>
      <c r="X27" s="612" t="s">
        <v>14</v>
      </c>
      <c r="Y27" s="2279"/>
      <c r="Z27" s="2280"/>
      <c r="AA27" s="1409"/>
      <c r="AB27" s="612"/>
      <c r="AC27" s="19"/>
      <c r="AD27" s="19"/>
      <c r="AE27" s="1409"/>
      <c r="AF27" s="2254"/>
      <c r="AG27" s="9"/>
      <c r="AI27" s="1422" t="s">
        <v>14</v>
      </c>
      <c r="AJ27" s="7"/>
      <c r="AK27" s="2218"/>
      <c r="AL27" s="2218"/>
    </row>
    <row r="28" spans="1:38" ht="18" customHeight="1">
      <c r="A28" s="2269" t="s">
        <v>28</v>
      </c>
      <c r="B28" s="2251"/>
      <c r="C28" s="2229"/>
      <c r="D28" s="1354">
        <f>+'Exhibit F'!V105</f>
        <v>1263.2000000000016</v>
      </c>
      <c r="E28" s="9"/>
      <c r="F28" s="9">
        <f>+'Exhibit F'!AC105</f>
        <v>16146</v>
      </c>
      <c r="G28" s="9"/>
      <c r="H28" s="1407">
        <f>'Exhibit G'!V93</f>
        <v>4283.9000000000015</v>
      </c>
      <c r="I28" s="9"/>
      <c r="J28" s="19">
        <f>+'Exhibit G'!AD93</f>
        <v>43519.4</v>
      </c>
      <c r="K28" s="19"/>
      <c r="L28" s="1770">
        <v>0</v>
      </c>
      <c r="M28" s="1409"/>
      <c r="N28" s="3764">
        <v>0</v>
      </c>
      <c r="O28" s="19"/>
      <c r="P28" s="3428">
        <f>'Exhibit I'!W73</f>
        <v>0</v>
      </c>
      <c r="Q28" s="3428"/>
      <c r="R28" s="1769">
        <f>+'Exhibit I'!AF73</f>
        <v>0</v>
      </c>
      <c r="S28" s="2279"/>
      <c r="T28" s="2279"/>
      <c r="U28" s="1409"/>
      <c r="V28" s="612">
        <f t="shared" si="4"/>
        <v>5547.1</v>
      </c>
      <c r="W28" s="19" t="s">
        <v>14</v>
      </c>
      <c r="X28" s="19">
        <f t="shared" si="5"/>
        <v>59665.4</v>
      </c>
      <c r="Y28" s="2279"/>
      <c r="Z28" s="2280"/>
      <c r="AA28" s="1409"/>
      <c r="AB28" s="2020">
        <v>5415.5</v>
      </c>
      <c r="AC28" s="19"/>
      <c r="AD28" s="1409">
        <f>'Exhibit F'!AF105+'Exhibit G'!AG93+'Exhibit I'!AI73</f>
        <v>55470.899999999994</v>
      </c>
      <c r="AE28" s="1409"/>
      <c r="AF28" s="2254"/>
      <c r="AG28" s="9">
        <f t="shared" si="6"/>
        <v>4194.5</v>
      </c>
      <c r="AI28" s="1410">
        <f t="shared" si="7"/>
        <v>7.5999999999999998E-2</v>
      </c>
      <c r="AJ28" s="606"/>
      <c r="AK28" s="2270"/>
      <c r="AL28" s="2218"/>
    </row>
    <row r="29" spans="1:38" ht="18" customHeight="1">
      <c r="A29" s="2264" t="s">
        <v>29</v>
      </c>
      <c r="B29" s="2251"/>
      <c r="C29" s="2229"/>
      <c r="D29" s="1354">
        <f>+'Exhibit F'!V106</f>
        <v>88.500000000000114</v>
      </c>
      <c r="E29" s="9"/>
      <c r="F29" s="9">
        <f>+'Exhibit F'!AC106</f>
        <v>1967.6</v>
      </c>
      <c r="G29" s="9"/>
      <c r="H29" s="1407">
        <f>'Exhibit G'!V94</f>
        <v>675.00000000000034</v>
      </c>
      <c r="I29" s="9"/>
      <c r="J29" s="19">
        <f>+'Exhibit G'!AD94</f>
        <v>7231.6</v>
      </c>
      <c r="K29" s="19"/>
      <c r="L29" s="1770">
        <v>0</v>
      </c>
      <c r="M29" s="1409"/>
      <c r="N29" s="3764">
        <v>0</v>
      </c>
      <c r="O29" s="19"/>
      <c r="P29" s="3428">
        <f>'Exhibit I'!W74</f>
        <v>83.399999999999977</v>
      </c>
      <c r="Q29" s="3428"/>
      <c r="R29" s="612">
        <f>+'Exhibit I'!AF74</f>
        <v>521.29999999999995</v>
      </c>
      <c r="S29" s="2279"/>
      <c r="T29" s="2279"/>
      <c r="U29" s="1409"/>
      <c r="V29" s="612">
        <f t="shared" si="4"/>
        <v>846.9</v>
      </c>
      <c r="W29" s="19" t="s">
        <v>14</v>
      </c>
      <c r="X29" s="19">
        <f t="shared" si="5"/>
        <v>9720.5</v>
      </c>
      <c r="Y29" s="2279"/>
      <c r="Z29" s="2280"/>
      <c r="AA29" s="1409"/>
      <c r="AB29" s="2020">
        <v>1028.5</v>
      </c>
      <c r="AC29" s="19"/>
      <c r="AD29" s="1409">
        <f>'Exhibit F'!AF106+'Exhibit G'!AG94+'Exhibit I'!AI74</f>
        <v>8512.7999999999993</v>
      </c>
      <c r="AE29" s="1409"/>
      <c r="AF29" s="2254"/>
      <c r="AG29" s="9">
        <f t="shared" si="6"/>
        <v>1207.7</v>
      </c>
      <c r="AI29" s="1410">
        <f t="shared" si="7"/>
        <v>0.14199999999999999</v>
      </c>
      <c r="AJ29" s="7"/>
      <c r="AK29" s="2218"/>
      <c r="AL29" s="2218"/>
    </row>
    <row r="30" spans="1:38" ht="18" customHeight="1">
      <c r="A30" s="2264" t="s">
        <v>30</v>
      </c>
      <c r="B30" s="2268"/>
      <c r="C30" s="2229"/>
      <c r="D30" s="1354">
        <f>+'Exhibit F'!V107</f>
        <v>37.199999999999982</v>
      </c>
      <c r="E30" s="9"/>
      <c r="F30" s="9">
        <f>+'Exhibit F'!AC107</f>
        <v>177.1</v>
      </c>
      <c r="G30" s="9"/>
      <c r="H30" s="1407">
        <f>'Exhibit G'!V95</f>
        <v>471.89999999999986</v>
      </c>
      <c r="I30" s="9"/>
      <c r="J30" s="19">
        <f>+'Exhibit G'!AD95</f>
        <v>1826.1</v>
      </c>
      <c r="K30" s="19"/>
      <c r="L30" s="1770">
        <v>0</v>
      </c>
      <c r="M30" s="1409"/>
      <c r="N30" s="3764">
        <v>0</v>
      </c>
      <c r="O30" s="19"/>
      <c r="P30" s="3428">
        <f>'Exhibit I'!W75</f>
        <v>6.3999999999999968</v>
      </c>
      <c r="Q30" s="3428"/>
      <c r="R30" s="1769">
        <f>+'Exhibit I'!AF75</f>
        <v>95.3</v>
      </c>
      <c r="S30" s="2279"/>
      <c r="T30" s="2279"/>
      <c r="U30" s="1409"/>
      <c r="V30" s="612">
        <f t="shared" si="4"/>
        <v>515.5</v>
      </c>
      <c r="W30" s="19" t="s">
        <v>14</v>
      </c>
      <c r="X30" s="19">
        <f t="shared" si="5"/>
        <v>2098.5</v>
      </c>
      <c r="Y30" s="2279"/>
      <c r="Z30" s="2280"/>
      <c r="AA30" s="1409"/>
      <c r="AB30" s="2020">
        <v>95.7</v>
      </c>
      <c r="AC30" s="19"/>
      <c r="AD30" s="1409">
        <f>'Exhibit F'!AF107+'Exhibit G'!AG95+'Exhibit I'!AI75</f>
        <v>1777.5000000000002</v>
      </c>
      <c r="AE30" s="1409"/>
      <c r="AF30" s="2254"/>
      <c r="AG30" s="9">
        <f t="shared" si="6"/>
        <v>321</v>
      </c>
      <c r="AI30" s="1410">
        <f t="shared" si="7"/>
        <v>0.18099999999999999</v>
      </c>
      <c r="AJ30" s="7"/>
      <c r="AK30" s="2218"/>
      <c r="AL30" s="2218"/>
    </row>
    <row r="31" spans="1:38" ht="18" customHeight="1">
      <c r="A31" s="2264" t="s">
        <v>31</v>
      </c>
      <c r="B31" s="2229"/>
      <c r="C31" s="2229"/>
      <c r="D31" s="1354">
        <f>+'Exhibit F'!V108</f>
        <v>284.90000000000032</v>
      </c>
      <c r="E31" s="9"/>
      <c r="F31" s="9">
        <f>+'Exhibit F'!AC108</f>
        <v>4405.8</v>
      </c>
      <c r="G31" s="9"/>
      <c r="H31" s="1407">
        <f>'Exhibit G'!V96</f>
        <v>703.7</v>
      </c>
      <c r="I31" s="9"/>
      <c r="J31" s="19">
        <f>+'Exhibit G'!AD96</f>
        <v>6297.5</v>
      </c>
      <c r="K31" s="19"/>
      <c r="L31" s="1770">
        <v>0</v>
      </c>
      <c r="M31" s="1409"/>
      <c r="N31" s="3764">
        <v>0</v>
      </c>
      <c r="O31" s="19"/>
      <c r="P31" s="3428">
        <f>'Exhibit I'!W76</f>
        <v>2.2000000000000455</v>
      </c>
      <c r="Q31" s="3428"/>
      <c r="R31" s="612">
        <f>+'Exhibit I'!AF76</f>
        <v>518.1</v>
      </c>
      <c r="S31" s="2279"/>
      <c r="T31" s="2279"/>
      <c r="U31" s="1409"/>
      <c r="V31" s="612">
        <f t="shared" si="4"/>
        <v>990.8</v>
      </c>
      <c r="W31" s="19" t="s">
        <v>14</v>
      </c>
      <c r="X31" s="19">
        <f t="shared" si="5"/>
        <v>11221.4</v>
      </c>
      <c r="Y31" s="2279"/>
      <c r="Z31" s="2280"/>
      <c r="AA31" s="1409"/>
      <c r="AB31" s="2020">
        <v>436.7</v>
      </c>
      <c r="AC31" s="19"/>
      <c r="AD31" s="1409">
        <f>'Exhibit F'!AF108+'Exhibit G'!AG96+'Exhibit I'!AI76</f>
        <v>5257.4</v>
      </c>
      <c r="AE31" s="1409"/>
      <c r="AF31" s="2254"/>
      <c r="AG31" s="9">
        <f t="shared" si="6"/>
        <v>5964</v>
      </c>
      <c r="AI31" s="1410">
        <f t="shared" si="7"/>
        <v>1.1339999999999999</v>
      </c>
      <c r="AJ31" s="7"/>
      <c r="AK31" s="2218"/>
      <c r="AL31" s="2218"/>
    </row>
    <row r="32" spans="1:38" ht="18" customHeight="1">
      <c r="A32" s="2264" t="s">
        <v>32</v>
      </c>
      <c r="B32" s="2268"/>
      <c r="C32" s="2229"/>
      <c r="D32" s="1354">
        <f>+'Exhibit F'!V109</f>
        <v>3.6999999999999034</v>
      </c>
      <c r="E32" s="9"/>
      <c r="F32" s="9">
        <f>+'Exhibit F'!AC109</f>
        <v>718.19999999999993</v>
      </c>
      <c r="G32" s="9"/>
      <c r="H32" s="1407">
        <f>'Exhibit G'!V97</f>
        <v>9.4999999999999982</v>
      </c>
      <c r="I32" s="9"/>
      <c r="J32" s="19">
        <f>+'Exhibit G'!AD97</f>
        <v>62.9</v>
      </c>
      <c r="K32" s="19"/>
      <c r="L32" s="1770">
        <v>0</v>
      </c>
      <c r="M32" s="1409" t="s">
        <v>14</v>
      </c>
      <c r="N32" s="3764">
        <v>0</v>
      </c>
      <c r="O32" s="19"/>
      <c r="P32" s="3428">
        <f>'Exhibit I'!W77</f>
        <v>24.300000000000068</v>
      </c>
      <c r="Q32" s="3428"/>
      <c r="R32" s="612">
        <f>+'Exhibit I'!AF77</f>
        <v>567.6</v>
      </c>
      <c r="S32" s="2279"/>
      <c r="T32" s="2279"/>
      <c r="U32" s="1409"/>
      <c r="V32" s="612">
        <f t="shared" si="4"/>
        <v>37.5</v>
      </c>
      <c r="W32" s="19" t="s">
        <v>14</v>
      </c>
      <c r="X32" s="19">
        <f t="shared" si="5"/>
        <v>1348.7</v>
      </c>
      <c r="Y32" s="2279"/>
      <c r="Z32" s="2280"/>
      <c r="AA32" s="1409"/>
      <c r="AB32" s="2020">
        <v>31.400000000000002</v>
      </c>
      <c r="AC32" s="19"/>
      <c r="AD32" s="1409">
        <f>'Exhibit F'!AF109+'Exhibit G'!AG97+'Exhibit I'!AI77</f>
        <v>527.29999999999995</v>
      </c>
      <c r="AE32" s="1409"/>
      <c r="AF32" s="2254"/>
      <c r="AG32" s="9">
        <f t="shared" si="6"/>
        <v>821.4</v>
      </c>
      <c r="AI32" s="1410">
        <f t="shared" si="7"/>
        <v>1.5580000000000001</v>
      </c>
      <c r="AJ32" s="7"/>
      <c r="AK32" s="2218"/>
      <c r="AL32" s="2218"/>
    </row>
    <row r="33" spans="1:38" ht="18" customHeight="1">
      <c r="A33" s="2264" t="s">
        <v>33</v>
      </c>
      <c r="B33" s="2229"/>
      <c r="C33" s="2229"/>
      <c r="D33" s="1354">
        <f>+'Exhibit F'!V110</f>
        <v>0</v>
      </c>
      <c r="E33" s="9"/>
      <c r="F33" s="9">
        <f>+'Exhibit F'!AC110</f>
        <v>109.1</v>
      </c>
      <c r="G33" s="9"/>
      <c r="H33" s="1407">
        <f>'Exhibit G'!V98</f>
        <v>73.199999999999818</v>
      </c>
      <c r="I33" s="9"/>
      <c r="J33" s="19">
        <f>+'Exhibit G'!AD98</f>
        <v>3541.9</v>
      </c>
      <c r="K33" s="19"/>
      <c r="L33" s="1770">
        <v>0</v>
      </c>
      <c r="M33" s="1409"/>
      <c r="N33" s="3764">
        <v>0</v>
      </c>
      <c r="O33" s="19"/>
      <c r="P33" s="3428">
        <f>'Exhibit I'!W78</f>
        <v>50.500000000000078</v>
      </c>
      <c r="Q33" s="3428"/>
      <c r="R33" s="612">
        <f>+'Exhibit I'!AF78</f>
        <v>2277.1</v>
      </c>
      <c r="S33" s="2279"/>
      <c r="T33" s="2279"/>
      <c r="U33" s="1409"/>
      <c r="V33" s="612">
        <f>ROUND(SUM(D33)+SUM(H33)+SUM(L33)+SUM(P33),1)</f>
        <v>123.7</v>
      </c>
      <c r="W33" s="19" t="s">
        <v>14</v>
      </c>
      <c r="X33" s="19">
        <f>ROUND(SUM(F33)+SUM(J33)+SUM(N33)+SUM(R33),1)</f>
        <v>5928.1</v>
      </c>
      <c r="Y33" s="2279"/>
      <c r="Z33" s="2280"/>
      <c r="AA33" s="1409"/>
      <c r="AB33" s="2020">
        <v>275.10000000000002</v>
      </c>
      <c r="AC33" s="19"/>
      <c r="AD33" s="1409">
        <f>'Exhibit F'!AF110+'Exhibit G'!AG98+'Exhibit I'!AI78</f>
        <v>5192.3</v>
      </c>
      <c r="AE33" s="1409"/>
      <c r="AF33" s="2254"/>
      <c r="AG33" s="9">
        <f t="shared" si="6"/>
        <v>735.8</v>
      </c>
      <c r="AI33" s="1410">
        <f>ROUND(SUM((+X33-AD33)/ABS(AD33)),3)</f>
        <v>0.14199999999999999</v>
      </c>
      <c r="AJ33" s="606"/>
      <c r="AK33" s="2218"/>
      <c r="AL33" s="2218"/>
    </row>
    <row r="34" spans="1:38" ht="18" customHeight="1">
      <c r="A34" s="2228" t="s">
        <v>34</v>
      </c>
      <c r="B34" s="2229"/>
      <c r="C34" s="2229"/>
      <c r="D34" s="12">
        <f>ROUND(SUM(D24:D33),1)</f>
        <v>2832.7</v>
      </c>
      <c r="E34" s="2258"/>
      <c r="F34" s="12">
        <f>ROUND(SUM(F24:F33),1)</f>
        <v>42678.6</v>
      </c>
      <c r="G34" s="1351"/>
      <c r="H34" s="12">
        <f>ROUND(SUM(H24:H33),1)</f>
        <v>8528</v>
      </c>
      <c r="I34" s="1351"/>
      <c r="J34" s="1539">
        <f>ROUND(SUM(J24:J33),1)</f>
        <v>73395.5</v>
      </c>
      <c r="K34" s="20"/>
      <c r="L34" s="1539">
        <f>ROUND(SUM(L24:L33),1)</f>
        <v>0</v>
      </c>
      <c r="M34" s="20"/>
      <c r="N34" s="3876">
        <f>ROUND(SUM(N24:N33),1)</f>
        <v>0</v>
      </c>
      <c r="O34" s="20"/>
      <c r="P34" s="3873">
        <f>ROUND(SUM(P24:P33),1)</f>
        <v>202</v>
      </c>
      <c r="Q34" s="20"/>
      <c r="R34" s="3873">
        <f>ROUND(SUM(R24:R33),1)</f>
        <v>4809.2</v>
      </c>
      <c r="S34" s="2283"/>
      <c r="T34" s="2283"/>
      <c r="U34" s="1462"/>
      <c r="V34" s="1539">
        <f>ROUND(SUM(V24:V33),1)</f>
        <v>11562.7</v>
      </c>
      <c r="W34" s="20"/>
      <c r="X34" s="1539">
        <f>ROUND(SUM(X24:X33),1)</f>
        <v>120883.3</v>
      </c>
      <c r="Y34" s="2283"/>
      <c r="Z34" s="2284"/>
      <c r="AA34" s="1462"/>
      <c r="AB34" s="1539">
        <f>ROUND(SUM(AB23:AB33),1)</f>
        <v>10387.200000000001</v>
      </c>
      <c r="AC34" s="20"/>
      <c r="AD34" s="1539">
        <f>ROUND(SUM(AD23:AD33),1)</f>
        <v>106585.5</v>
      </c>
      <c r="AE34" s="1462"/>
      <c r="AF34" s="2259"/>
      <c r="AG34" s="12">
        <f>ROUND(SUM(AG24:AG33),1)</f>
        <v>14297.8</v>
      </c>
      <c r="AH34" s="2260"/>
      <c r="AI34" s="1426">
        <f>ROUND(SUM((+X34-AD34)/ABS(AD34)),3)</f>
        <v>0.13400000000000001</v>
      </c>
      <c r="AJ34" s="2230"/>
      <c r="AK34" s="2218"/>
      <c r="AL34" s="2218"/>
    </row>
    <row r="35" spans="1:38" ht="18" customHeight="1">
      <c r="A35" s="2229" t="s">
        <v>35</v>
      </c>
      <c r="B35" s="2267"/>
      <c r="C35" s="2229"/>
      <c r="D35" s="608"/>
      <c r="E35" s="9"/>
      <c r="F35" s="9"/>
      <c r="G35" s="9"/>
      <c r="H35" s="608"/>
      <c r="I35" s="9"/>
      <c r="J35" s="19"/>
      <c r="K35" s="19"/>
      <c r="L35" s="612"/>
      <c r="M35" s="19"/>
      <c r="N35" s="19"/>
      <c r="O35" s="19"/>
      <c r="P35" s="612"/>
      <c r="Q35" s="612"/>
      <c r="R35" s="612"/>
      <c r="S35" s="2279"/>
      <c r="T35" s="2279"/>
      <c r="U35" s="1409"/>
      <c r="V35" s="612"/>
      <c r="W35" s="19"/>
      <c r="X35" s="19"/>
      <c r="Y35" s="2279"/>
      <c r="Z35" s="2280"/>
      <c r="AA35" s="1409"/>
      <c r="AB35" s="612"/>
      <c r="AC35" s="19"/>
      <c r="AD35" s="1409"/>
      <c r="AE35" s="1409"/>
      <c r="AF35" s="2254"/>
      <c r="AG35" s="9"/>
      <c r="AI35" s="1413"/>
      <c r="AJ35" s="7"/>
      <c r="AK35" s="2218"/>
      <c r="AL35" s="2218"/>
    </row>
    <row r="36" spans="1:38" ht="18" customHeight="1">
      <c r="A36" s="2229" t="s">
        <v>36</v>
      </c>
      <c r="B36" s="2266"/>
      <c r="C36" s="2229"/>
      <c r="D36" s="608">
        <f>+'Exhibit F'!V113</f>
        <v>666.70000000000016</v>
      </c>
      <c r="E36" s="9"/>
      <c r="F36" s="9">
        <f>+'Exhibit F'!AC113</f>
        <v>6593.5</v>
      </c>
      <c r="G36" s="9"/>
      <c r="H36" s="1407">
        <f>'Exhibit G'!V101</f>
        <v>447.80000000000018</v>
      </c>
      <c r="I36" s="9"/>
      <c r="J36" s="19">
        <f>+'Exhibit G'!AD101</f>
        <v>5838.5</v>
      </c>
      <c r="K36" s="19"/>
      <c r="L36" s="1405">
        <v>0</v>
      </c>
      <c r="M36" s="19"/>
      <c r="N36" s="18">
        <v>0</v>
      </c>
      <c r="O36" s="19"/>
      <c r="P36" s="1405">
        <f>'Exhibit I'!W81</f>
        <v>0</v>
      </c>
      <c r="Q36" s="612"/>
      <c r="R36" s="1405">
        <f>+'Exhibit I'!AF81</f>
        <v>0</v>
      </c>
      <c r="S36" s="2279"/>
      <c r="T36" s="2279"/>
      <c r="U36" s="1409"/>
      <c r="V36" s="612">
        <f>ROUND(SUM(D36)+SUM(H36)+SUM(L36)+SUM(P36),1)</f>
        <v>1114.5</v>
      </c>
      <c r="W36" s="19" t="s">
        <v>14</v>
      </c>
      <c r="X36" s="19">
        <f>ROUND(SUM(F36)+SUM(J36)+SUM(N36)+SUM(R36),1)</f>
        <v>12432</v>
      </c>
      <c r="Y36" s="2279"/>
      <c r="Z36" s="2280"/>
      <c r="AA36" s="1409"/>
      <c r="AB36" s="2020">
        <v>1078.8</v>
      </c>
      <c r="AC36" s="3328"/>
      <c r="AD36" s="19">
        <f>'Exhibit F'!AF113+'Exhibit G'!AG101+'Exhibit I'!AI81</f>
        <v>12268.2</v>
      </c>
      <c r="AE36" s="1409"/>
      <c r="AF36" s="2254"/>
      <c r="AG36" s="9">
        <f>ROUND(SUM(X36-AD36),1)</f>
        <v>163.80000000000001</v>
      </c>
      <c r="AI36" s="1410">
        <f>ROUND(SUM((+X36-AD36)/ABS(AD36)),3)</f>
        <v>1.2999999999999999E-2</v>
      </c>
      <c r="AJ36" s="7"/>
      <c r="AK36" s="2218"/>
      <c r="AL36" s="2218"/>
    </row>
    <row r="37" spans="1:38" ht="18" customHeight="1">
      <c r="A37" s="2229" t="s">
        <v>37</v>
      </c>
      <c r="B37" s="2267"/>
      <c r="C37" s="2229"/>
      <c r="D37" s="608">
        <f>+'Exhibit F'!V114</f>
        <v>381.20000000000027</v>
      </c>
      <c r="E37" s="9"/>
      <c r="F37" s="9">
        <f>+'Exhibit F'!AC114</f>
        <v>2250.9</v>
      </c>
      <c r="G37" s="9"/>
      <c r="H37" s="1407">
        <f>'Exhibit G'!V102</f>
        <v>439.49999999999989</v>
      </c>
      <c r="I37" s="9"/>
      <c r="J37" s="19">
        <f>+'Exhibit G'!AD102</f>
        <v>4527.8999999999996</v>
      </c>
      <c r="K37" s="19"/>
      <c r="L37" s="3428">
        <f>+'Exhibit H'!T58</f>
        <v>0</v>
      </c>
      <c r="M37" s="19"/>
      <c r="N37" s="19">
        <f>+'Exhibit H'!AA58</f>
        <v>3.4</v>
      </c>
      <c r="O37" s="19" t="s">
        <v>14</v>
      </c>
      <c r="P37" s="1405">
        <f>'Exhibit I'!W82</f>
        <v>0</v>
      </c>
      <c r="Q37" s="612"/>
      <c r="R37" s="1405">
        <f>+'Exhibit I'!AF82</f>
        <v>0</v>
      </c>
      <c r="S37" s="2279"/>
      <c r="T37" s="2279"/>
      <c r="U37" s="1409"/>
      <c r="V37" s="612">
        <f>ROUND(SUM(D37)+SUM(H37)+SUM(L37)+SUM(P37),1)</f>
        <v>820.7</v>
      </c>
      <c r="W37" s="19" t="s">
        <v>14</v>
      </c>
      <c r="X37" s="19">
        <f>ROUND(SUM(F37)+SUM(J37)+SUM(N37)+SUM(R37),1)</f>
        <v>6782.2</v>
      </c>
      <c r="Y37" s="2279"/>
      <c r="Z37" s="2280"/>
      <c r="AA37" s="1409"/>
      <c r="AB37" s="2020">
        <v>637.69999999999993</v>
      </c>
      <c r="AC37" s="3328"/>
      <c r="AD37" s="19">
        <f>'Exhibit F'!AF114+'Exhibit G'!AG102+'Exhibit I'!AI82+'Exhibit H'!AD58</f>
        <v>5837.4000000000005</v>
      </c>
      <c r="AE37" s="1409"/>
      <c r="AF37" s="2254"/>
      <c r="AG37" s="9">
        <f>ROUND(SUM(X37-AD37),1)</f>
        <v>944.8</v>
      </c>
      <c r="AI37" s="1410">
        <f>ROUND(SUM((+X37-AD37)/ABS(AD37)),3)</f>
        <v>0.16200000000000001</v>
      </c>
      <c r="AJ37" s="606"/>
      <c r="AK37" s="2210"/>
      <c r="AL37" s="2218"/>
    </row>
    <row r="38" spans="1:38" ht="18" customHeight="1">
      <c r="A38" s="2229" t="s">
        <v>38</v>
      </c>
      <c r="B38" s="2268"/>
      <c r="C38" s="2229"/>
      <c r="D38" s="608">
        <f>+'Exhibit F'!V115</f>
        <v>487.30000000000018</v>
      </c>
      <c r="E38" s="9"/>
      <c r="F38" s="9">
        <f>+'Exhibit F'!AC115</f>
        <v>6628.1</v>
      </c>
      <c r="G38" s="2271"/>
      <c r="H38" s="1407">
        <f>'Exhibit G'!V103</f>
        <v>98.900000000000063</v>
      </c>
      <c r="I38" s="9"/>
      <c r="J38" s="19">
        <f>+'Exhibit G'!AD103</f>
        <v>1856.9</v>
      </c>
      <c r="K38" s="19"/>
      <c r="L38" s="1405">
        <v>0</v>
      </c>
      <c r="M38" s="19"/>
      <c r="N38" s="18">
        <v>0</v>
      </c>
      <c r="O38" s="19"/>
      <c r="P38" s="1405">
        <f>'Exhibit I'!W83</f>
        <v>0</v>
      </c>
      <c r="Q38" s="612"/>
      <c r="R38" s="1405">
        <f>+'Exhibit I'!AF83</f>
        <v>0</v>
      </c>
      <c r="S38" s="2279"/>
      <c r="T38" s="2279"/>
      <c r="U38" s="1409"/>
      <c r="V38" s="612">
        <f>ROUND(SUM(D38)+SUM(H38)+SUM(L38)+SUM(P38),1)</f>
        <v>586.20000000000005</v>
      </c>
      <c r="W38" s="19" t="s">
        <v>14</v>
      </c>
      <c r="X38" s="19">
        <f>ROUND(SUM(F38)+SUM(J38)+SUM(N38)+SUM(R38),1)</f>
        <v>8485</v>
      </c>
      <c r="Y38" s="2279"/>
      <c r="Z38" s="2280"/>
      <c r="AA38" s="1409"/>
      <c r="AB38" s="2020">
        <v>567.79999999999995</v>
      </c>
      <c r="AC38" s="19"/>
      <c r="AD38" s="19">
        <f>'Exhibit F'!AF115+'Exhibit G'!AG103+'Exhibit I'!AI83</f>
        <v>7107.8</v>
      </c>
      <c r="AE38" s="1409"/>
      <c r="AF38" s="2254"/>
      <c r="AG38" s="9">
        <f>ROUND(SUM(X38-AD38),1)</f>
        <v>1377.2</v>
      </c>
      <c r="AI38" s="1410">
        <f>ROUND(SUM((+X38-AD38)/ABS(AD38)),3)</f>
        <v>0.19400000000000001</v>
      </c>
      <c r="AJ38" s="7"/>
      <c r="AK38" s="2218"/>
      <c r="AL38" s="2218"/>
    </row>
    <row r="39" spans="1:38" ht="18" customHeight="1">
      <c r="A39" s="2229" t="s">
        <v>39</v>
      </c>
      <c r="B39" s="2229"/>
      <c r="C39" s="2229"/>
      <c r="D39" s="608"/>
      <c r="E39" s="9"/>
      <c r="F39" s="9"/>
      <c r="G39" s="9"/>
      <c r="H39" s="608"/>
      <c r="I39" s="9"/>
      <c r="J39" s="3877"/>
      <c r="K39" s="19"/>
      <c r="L39" s="612"/>
      <c r="M39" s="19"/>
      <c r="N39" s="19"/>
      <c r="O39" s="19"/>
      <c r="P39" s="1405"/>
      <c r="Q39" s="612"/>
      <c r="R39" s="612"/>
      <c r="S39" s="2279"/>
      <c r="T39" s="2279"/>
      <c r="U39" s="1409"/>
      <c r="V39" s="612"/>
      <c r="W39" s="19"/>
      <c r="X39" s="19"/>
      <c r="Y39" s="2279"/>
      <c r="Z39" s="2280"/>
      <c r="AA39" s="1409"/>
      <c r="AB39" s="612"/>
      <c r="AC39" s="19"/>
      <c r="AD39" s="1409"/>
      <c r="AE39" s="1409"/>
      <c r="AF39" s="2254"/>
      <c r="AG39" s="9"/>
      <c r="AI39" s="1410"/>
      <c r="AJ39" s="7"/>
      <c r="AK39" s="2218"/>
      <c r="AL39" s="2218"/>
    </row>
    <row r="40" spans="1:38" ht="18" customHeight="1">
      <c r="A40" s="2229" t="s">
        <v>40</v>
      </c>
      <c r="B40" s="2262"/>
      <c r="C40" s="2229"/>
      <c r="D40" s="611">
        <v>0</v>
      </c>
      <c r="E40" s="9"/>
      <c r="F40" s="10">
        <v>0</v>
      </c>
      <c r="G40" s="9"/>
      <c r="H40" s="1407">
        <f>'Exhibit G'!V105</f>
        <v>0</v>
      </c>
      <c r="I40" s="9"/>
      <c r="J40" s="18">
        <f>'Exhibit G'!AD105</f>
        <v>42.3</v>
      </c>
      <c r="K40" s="19"/>
      <c r="L40" s="612">
        <f>+'Exhibit H'!T60</f>
        <v>7.6000000000001364</v>
      </c>
      <c r="M40" s="19"/>
      <c r="N40" s="19">
        <f>+'Exhibit H'!AA60</f>
        <v>1450.2</v>
      </c>
      <c r="O40" s="19" t="s">
        <v>14</v>
      </c>
      <c r="P40" s="1405">
        <v>0</v>
      </c>
      <c r="Q40" s="612"/>
      <c r="R40" s="1405">
        <v>0</v>
      </c>
      <c r="S40" s="2279"/>
      <c r="T40" s="2279"/>
      <c r="U40" s="1409"/>
      <c r="V40" s="612">
        <f>ROUND(SUM(D40)+SUM(H40)+SUM(L40)+SUM(P40),1)</f>
        <v>7.6</v>
      </c>
      <c r="W40" s="19" t="s">
        <v>14</v>
      </c>
      <c r="X40" s="19">
        <f>ROUND(SUM(F40)+SUM(J40)+SUM(N40)+SUM(R40),1)</f>
        <v>1492.5</v>
      </c>
      <c r="Y40" s="2279"/>
      <c r="Z40" s="2280"/>
      <c r="AA40" s="1409"/>
      <c r="AB40" s="2020">
        <v>10.6</v>
      </c>
      <c r="AC40" s="19"/>
      <c r="AD40" s="1409">
        <f>'Exhibit H'!AD60+'Exhibit G Federal'!AG76</f>
        <v>2691.7999999999997</v>
      </c>
      <c r="AE40" s="1409"/>
      <c r="AF40" s="2254"/>
      <c r="AG40" s="9">
        <f>ROUND(SUM(X40-AD40),1)</f>
        <v>-1199.3</v>
      </c>
      <c r="AI40" s="1410">
        <f>ROUND(SUM((+X40-AD40)/ABS(AD40)),3)</f>
        <v>-0.44600000000000001</v>
      </c>
      <c r="AJ40" s="2272"/>
      <c r="AK40" s="2218"/>
      <c r="AL40" s="2218"/>
    </row>
    <row r="41" spans="1:38" ht="18" customHeight="1">
      <c r="A41" s="2229" t="s">
        <v>41</v>
      </c>
      <c r="B41" s="2268" t="s">
        <v>867</v>
      </c>
      <c r="C41" s="2229"/>
      <c r="D41" s="1404">
        <v>0</v>
      </c>
      <c r="E41" s="9"/>
      <c r="F41" s="16">
        <v>0</v>
      </c>
      <c r="G41" s="9"/>
      <c r="H41" s="1407">
        <f>'Exhibit G'!V106</f>
        <v>0</v>
      </c>
      <c r="I41" s="9"/>
      <c r="J41" s="19">
        <f>+'Exhibit G'!AD106</f>
        <v>0</v>
      </c>
      <c r="K41" s="19"/>
      <c r="L41" s="3875">
        <v>0</v>
      </c>
      <c r="M41" s="19"/>
      <c r="N41" s="2344">
        <v>0</v>
      </c>
      <c r="O41" s="19"/>
      <c r="P41" s="3428">
        <f>'Exhibit I'!W84</f>
        <v>558.79999999999961</v>
      </c>
      <c r="Q41" s="612"/>
      <c r="R41" s="3878">
        <f>+'Exhibit I'!AF84</f>
        <v>6062.4</v>
      </c>
      <c r="S41" s="2279"/>
      <c r="T41" s="2279"/>
      <c r="U41" s="1409"/>
      <c r="V41" s="612">
        <f>ROUND(SUM(D41)+SUM(H41)+SUM(L41)+SUM(P41),1)</f>
        <v>558.79999999999995</v>
      </c>
      <c r="W41" s="19" t="s">
        <v>14</v>
      </c>
      <c r="X41" s="19">
        <f>ROUND(SUM(F41)+SUM(J41)+SUM(N41)+SUM(R41),1)</f>
        <v>6062.4</v>
      </c>
      <c r="Y41" s="2279"/>
      <c r="Z41" s="2280"/>
      <c r="AA41" s="1409"/>
      <c r="AB41" s="2020">
        <v>453.5</v>
      </c>
      <c r="AC41" s="19"/>
      <c r="AD41" s="1409">
        <f>'Exhibit G'!AG106+'Exhibit I'!AI84</f>
        <v>5840.8</v>
      </c>
      <c r="AE41" s="1409"/>
      <c r="AF41" s="2254"/>
      <c r="AG41" s="9">
        <f>ROUND(SUM(X41-AD41),1)</f>
        <v>221.6</v>
      </c>
      <c r="AI41" s="1410">
        <f>ROUND(SUM((+X41-AD41)/ABS(AD41)),3)</f>
        <v>3.7999999999999999E-2</v>
      </c>
      <c r="AJ41" s="2272"/>
      <c r="AK41" s="2210" t="s">
        <v>14</v>
      </c>
      <c r="AL41" s="2218"/>
    </row>
    <row r="42" spans="1:38" ht="18" customHeight="1">
      <c r="A42" s="2228" t="s">
        <v>42</v>
      </c>
      <c r="B42" s="2229"/>
      <c r="C42" s="2229"/>
      <c r="D42" s="12">
        <f>ROUND(SUM(D34:D41),1)</f>
        <v>4367.8999999999996</v>
      </c>
      <c r="E42" s="1351"/>
      <c r="F42" s="12">
        <f>ROUND(SUM(F34:F41),1)</f>
        <v>58151.1</v>
      </c>
      <c r="G42" s="1351"/>
      <c r="H42" s="1539">
        <f>ROUND(SUM(H34:H41),1)</f>
        <v>9514.2000000000007</v>
      </c>
      <c r="I42" s="1351"/>
      <c r="J42" s="1539">
        <f>ROUND(SUM(J34:J41),1)</f>
        <v>85661.1</v>
      </c>
      <c r="K42" s="20"/>
      <c r="L42" s="1539">
        <f>ROUND(SUM(L34:L41),1)</f>
        <v>7.6</v>
      </c>
      <c r="M42" s="20"/>
      <c r="N42" s="1539">
        <f>ROUND(SUM(N34:N41),1)</f>
        <v>1453.6</v>
      </c>
      <c r="O42" s="20"/>
      <c r="P42" s="1539">
        <f>ROUND(SUM(P34:P41),1)</f>
        <v>760.8</v>
      </c>
      <c r="Q42" s="20"/>
      <c r="R42" s="1539">
        <f>ROUND(SUM(R34:R41),1)</f>
        <v>10871.6</v>
      </c>
      <c r="S42" s="2283"/>
      <c r="T42" s="2283"/>
      <c r="U42" s="1462"/>
      <c r="V42" s="1539">
        <f>ROUND(SUM(V34:V41),1)</f>
        <v>14650.5</v>
      </c>
      <c r="W42" s="20"/>
      <c r="X42" s="1539">
        <f>ROUND(SUM(X34:X41),1)</f>
        <v>156137.4</v>
      </c>
      <c r="Y42" s="2283"/>
      <c r="Z42" s="2284"/>
      <c r="AA42" s="1462"/>
      <c r="AB42" s="1539">
        <f>ROUND(SUM(AB34:AB41),1)</f>
        <v>13135.6</v>
      </c>
      <c r="AC42" s="20"/>
      <c r="AD42" s="1539">
        <f>ROUND(SUM(AD34:AD41),1)</f>
        <v>140331.5</v>
      </c>
      <c r="AE42" s="1462"/>
      <c r="AF42" s="2259"/>
      <c r="AG42" s="12">
        <f>ROUND(SUM(AG34:AG41),1)</f>
        <v>15805.9</v>
      </c>
      <c r="AH42" s="2260"/>
      <c r="AI42" s="1426">
        <f>ROUND(SUM((+X42-AD42)/ABS(AD42)),3)</f>
        <v>0.113</v>
      </c>
      <c r="AJ42" s="2230"/>
      <c r="AK42" s="2218"/>
      <c r="AL42" s="2218"/>
    </row>
    <row r="43" spans="1:38" ht="16.350000000000001" customHeight="1">
      <c r="A43" s="2228"/>
      <c r="B43" s="2229"/>
      <c r="C43" s="2229"/>
      <c r="D43" s="609"/>
      <c r="E43" s="9"/>
      <c r="F43" s="14"/>
      <c r="G43" s="9"/>
      <c r="H43" s="609"/>
      <c r="I43" s="9"/>
      <c r="J43" s="1409"/>
      <c r="K43" s="19"/>
      <c r="L43" s="1406"/>
      <c r="M43" s="19"/>
      <c r="N43" s="1409"/>
      <c r="O43" s="19"/>
      <c r="P43" s="3537"/>
      <c r="Q43" s="612"/>
      <c r="R43" s="1406"/>
      <c r="S43" s="2279"/>
      <c r="T43" s="2279"/>
      <c r="U43" s="1409"/>
      <c r="V43" s="1406"/>
      <c r="W43" s="19"/>
      <c r="X43" s="1409"/>
      <c r="Y43" s="2279"/>
      <c r="Z43" s="2280"/>
      <c r="AA43" s="1409"/>
      <c r="AB43" s="1406" t="s">
        <v>14</v>
      </c>
      <c r="AC43" s="19"/>
      <c r="AD43" s="1409"/>
      <c r="AE43" s="1409"/>
      <c r="AF43" s="2254"/>
      <c r="AG43" s="14"/>
      <c r="AI43" s="1413"/>
      <c r="AJ43" s="7"/>
      <c r="AK43" s="2218"/>
      <c r="AL43" s="2218"/>
    </row>
    <row r="44" spans="1:38" ht="16.350000000000001" customHeight="1">
      <c r="A44" s="2228" t="s">
        <v>43</v>
      </c>
      <c r="B44" s="2228"/>
      <c r="C44" s="2229"/>
      <c r="D44" s="608"/>
      <c r="E44" s="9"/>
      <c r="F44" s="9"/>
      <c r="G44" s="9"/>
      <c r="H44" s="608"/>
      <c r="I44" s="9"/>
      <c r="J44" s="19"/>
      <c r="K44" s="19"/>
      <c r="L44" s="612" t="s">
        <v>14</v>
      </c>
      <c r="M44" s="19"/>
      <c r="N44" s="19"/>
      <c r="O44" s="19"/>
      <c r="P44" s="3428"/>
      <c r="Q44" s="612"/>
      <c r="R44" s="612"/>
      <c r="S44" s="2279"/>
      <c r="T44" s="2279"/>
      <c r="U44" s="1409"/>
      <c r="V44" s="612"/>
      <c r="W44" s="19"/>
      <c r="X44" s="19"/>
      <c r="Y44" s="2279"/>
      <c r="Z44" s="2280"/>
      <c r="AA44" s="1409"/>
      <c r="AB44" s="612"/>
      <c r="AC44" s="19"/>
      <c r="AD44" s="1409"/>
      <c r="AE44" s="1409"/>
      <c r="AF44" s="2254"/>
      <c r="AG44" s="9"/>
      <c r="AI44" s="1413"/>
      <c r="AJ44" s="7"/>
      <c r="AK44" s="2218"/>
      <c r="AL44" s="2218"/>
    </row>
    <row r="45" spans="1:38" ht="16.350000000000001" customHeight="1">
      <c r="A45" s="2228" t="s">
        <v>44</v>
      </c>
      <c r="B45" s="2228"/>
      <c r="C45" s="2229"/>
      <c r="D45" s="17">
        <f>ROUND(SUM(D20-D42),1)</f>
        <v>359.5</v>
      </c>
      <c r="E45" s="1351"/>
      <c r="F45" s="17">
        <f>ROUND(SUM(F20-F42),1)</f>
        <v>-11601.8</v>
      </c>
      <c r="G45" s="1351"/>
      <c r="H45" s="17">
        <f>ROUND(SUM(H20-H42),1)</f>
        <v>-239.9</v>
      </c>
      <c r="I45" s="1351"/>
      <c r="J45" s="1631">
        <f>ROUND(SUM(J20-J42),1)</f>
        <v>15324.4</v>
      </c>
      <c r="K45" s="20"/>
      <c r="L45" s="1631">
        <f>ROUND(SUM(L20-L42),1)</f>
        <v>6917.2</v>
      </c>
      <c r="M45" s="20" t="s">
        <v>14</v>
      </c>
      <c r="N45" s="1631">
        <f>ROUND(SUM(N20-N42),1)</f>
        <v>45804.3</v>
      </c>
      <c r="O45" s="20" t="s">
        <v>14</v>
      </c>
      <c r="P45" s="3879">
        <f>ROUND(SUM(P20-P42),1)</f>
        <v>-294.60000000000002</v>
      </c>
      <c r="Q45" s="20" t="s">
        <v>14</v>
      </c>
      <c r="R45" s="3879">
        <f>ROUND(SUM(R20-R42),1)</f>
        <v>-4908.8</v>
      </c>
      <c r="S45" s="2283"/>
      <c r="T45" s="2283"/>
      <c r="U45" s="1462"/>
      <c r="V45" s="1631">
        <f>ROUND(SUM(V20-V42),1)</f>
        <v>6742.2</v>
      </c>
      <c r="W45" s="20" t="s">
        <v>14</v>
      </c>
      <c r="X45" s="1631">
        <f>ROUND(SUM(X20-X42),1)</f>
        <v>44618.1</v>
      </c>
      <c r="Y45" s="2283"/>
      <c r="Z45" s="2284"/>
      <c r="AA45" s="1462"/>
      <c r="AB45" s="1631">
        <f>ROUND(SUM(AB20-AB42),1)</f>
        <v>5963.1</v>
      </c>
      <c r="AC45" s="20"/>
      <c r="AD45" s="1631">
        <f>ROUND(SUM(AD20-AD42),1)</f>
        <v>21499.4</v>
      </c>
      <c r="AE45" s="1462"/>
      <c r="AF45" s="2259"/>
      <c r="AG45" s="17">
        <f>ROUND(SUM(X45-AD45),1)</f>
        <v>23118.7</v>
      </c>
      <c r="AH45" s="2273"/>
      <c r="AI45" s="1412">
        <f>ROUND(SUM((+X45-AD45)/ABS(AD45)),3)</f>
        <v>1.075</v>
      </c>
      <c r="AJ45" s="2230"/>
      <c r="AK45" s="2218"/>
      <c r="AL45" s="2218"/>
    </row>
    <row r="46" spans="1:38" ht="16.350000000000001" customHeight="1">
      <c r="A46" s="2229"/>
      <c r="B46" s="2229"/>
      <c r="C46" s="2229"/>
      <c r="D46" s="609"/>
      <c r="E46" s="9"/>
      <c r="F46" s="14"/>
      <c r="G46" s="9"/>
      <c r="H46" s="1406"/>
      <c r="I46" s="9"/>
      <c r="J46" s="1409"/>
      <c r="K46" s="19"/>
      <c r="L46" s="1406"/>
      <c r="M46" s="19"/>
      <c r="N46" s="1409"/>
      <c r="O46" s="19"/>
      <c r="P46" s="3537"/>
      <c r="Q46" s="612"/>
      <c r="R46" s="1406"/>
      <c r="S46" s="2279"/>
      <c r="T46" s="2279"/>
      <c r="U46" s="1409"/>
      <c r="V46" s="1406"/>
      <c r="W46" s="19"/>
      <c r="X46" s="1409"/>
      <c r="Y46" s="2279"/>
      <c r="Z46" s="2280"/>
      <c r="AA46" s="1409"/>
      <c r="AB46" s="1406"/>
      <c r="AC46" s="19"/>
      <c r="AD46" s="1409"/>
      <c r="AE46" s="1409"/>
      <c r="AF46" s="2254"/>
      <c r="AG46" s="14"/>
      <c r="AI46" s="1413"/>
      <c r="AJ46" s="7"/>
      <c r="AK46" s="2218"/>
      <c r="AL46" s="2218"/>
    </row>
    <row r="47" spans="1:38" ht="16.350000000000001" customHeight="1">
      <c r="A47" s="2228" t="s">
        <v>45</v>
      </c>
      <c r="B47" s="2228"/>
      <c r="C47" s="2229"/>
      <c r="D47" s="608"/>
      <c r="E47" s="9"/>
      <c r="F47" s="19"/>
      <c r="G47" s="19"/>
      <c r="H47" s="612"/>
      <c r="I47" s="19"/>
      <c r="J47" s="19"/>
      <c r="K47" s="19"/>
      <c r="L47" s="612"/>
      <c r="M47" s="19"/>
      <c r="N47" s="19"/>
      <c r="O47" s="19"/>
      <c r="P47" s="3428"/>
      <c r="Q47" s="612"/>
      <c r="R47" s="1406"/>
      <c r="S47" s="2279"/>
      <c r="T47" s="2279"/>
      <c r="U47" s="1409"/>
      <c r="V47" s="612"/>
      <c r="W47" s="19"/>
      <c r="X47" s="19"/>
      <c r="Y47" s="2279"/>
      <c r="Z47" s="2280"/>
      <c r="AA47" s="1409"/>
      <c r="AB47" s="612"/>
      <c r="AC47" s="19"/>
      <c r="AD47" s="1409"/>
      <c r="AE47" s="1409"/>
      <c r="AF47" s="2254"/>
      <c r="AG47" s="9"/>
      <c r="AI47" s="1413"/>
      <c r="AJ47" s="7"/>
      <c r="AK47" s="2218"/>
      <c r="AL47" s="2218"/>
    </row>
    <row r="48" spans="1:38" ht="18" customHeight="1">
      <c r="A48" s="3614" t="s">
        <v>1352</v>
      </c>
      <c r="B48" s="2229"/>
      <c r="C48" s="2229"/>
      <c r="D48" s="1405">
        <v>0</v>
      </c>
      <c r="E48" s="9"/>
      <c r="F48" s="18">
        <v>0</v>
      </c>
      <c r="G48" s="19"/>
      <c r="H48" s="1405">
        <v>0</v>
      </c>
      <c r="I48" s="19"/>
      <c r="J48" s="18">
        <v>0</v>
      </c>
      <c r="K48" s="19"/>
      <c r="L48" s="1405">
        <v>0</v>
      </c>
      <c r="M48" s="1409"/>
      <c r="N48" s="18">
        <v>0</v>
      </c>
      <c r="O48" s="1409"/>
      <c r="P48" s="1405">
        <f>+'Exhibit I'!W92</f>
        <v>0</v>
      </c>
      <c r="Q48" s="1406"/>
      <c r="R48" s="1405">
        <f>'Exhibit I'!AF92</f>
        <v>0</v>
      </c>
      <c r="S48" s="2279"/>
      <c r="T48" s="2279"/>
      <c r="U48" s="1409"/>
      <c r="V48" s="612">
        <f>ROUND(SUM(D48)+SUM(H48)+SUM(L48)+SUM(P48),1)</f>
        <v>0</v>
      </c>
      <c r="W48" s="2344"/>
      <c r="X48" s="19">
        <f>ROUND(SUM(F48)+SUM(J48)+SUM(N48)+SUM(R48),1)</f>
        <v>0</v>
      </c>
      <c r="Y48" s="2279"/>
      <c r="Z48" s="2280"/>
      <c r="AA48" s="1409"/>
      <c r="AB48" s="2020">
        <v>0</v>
      </c>
      <c r="AC48" s="18"/>
      <c r="AD48" s="3764">
        <f>'Exhibit I'!AI92</f>
        <v>0</v>
      </c>
      <c r="AE48" s="2344"/>
      <c r="AF48" s="2275"/>
      <c r="AG48" s="14">
        <f>X48-AD48</f>
        <v>0</v>
      </c>
      <c r="AH48" s="2276"/>
      <c r="AI48" s="1410">
        <f>ROUND(IF(AD48=0,0,AG48/ABS(AD48)),3)</f>
        <v>0</v>
      </c>
      <c r="AJ48" s="2277"/>
      <c r="AK48" s="2218"/>
      <c r="AL48" s="2218"/>
    </row>
    <row r="49" spans="1:40" ht="18" customHeight="1">
      <c r="A49" s="2274" t="s">
        <v>46</v>
      </c>
      <c r="B49" s="2278" t="s">
        <v>1151</v>
      </c>
      <c r="C49" s="2274"/>
      <c r="D49" s="612">
        <f>+'Exhibit F'!V124+'Exhibit F'!V125+'Exhibit F'!V126+'Exhibit F'!V127</f>
        <v>1519.4000000000037</v>
      </c>
      <c r="E49" s="9"/>
      <c r="F49" s="19">
        <f>+'Exhibit F'!AC124+'Exhibit F'!AC125+'Exhibit F'!AC126+'Exhibit F'!AC127</f>
        <v>41705.4</v>
      </c>
      <c r="G49" s="19"/>
      <c r="H49" s="612">
        <f>'Exhibit G'!V114-20.6</f>
        <v>33.199999999999726</v>
      </c>
      <c r="I49" s="19"/>
      <c r="J49" s="19">
        <f>+'Exhibit G'!AD114</f>
        <v>2233.5</v>
      </c>
      <c r="K49" s="1409"/>
      <c r="L49" s="1406">
        <f>+'Exhibit H'!T68</f>
        <v>287.59999999999997</v>
      </c>
      <c r="M49" s="1409"/>
      <c r="N49" s="19">
        <f>+'Exhibit H'!AA68</f>
        <v>1470.6</v>
      </c>
      <c r="O49" s="1409"/>
      <c r="P49" s="1405">
        <f>'Exhibit I'!W93</f>
        <v>352.40000000000009</v>
      </c>
      <c r="Q49" s="1406"/>
      <c r="R49" s="1406">
        <f>+'Exhibit I'!AF93</f>
        <v>4781.3</v>
      </c>
      <c r="S49" s="2279"/>
      <c r="T49" s="2279"/>
      <c r="U49" s="1409"/>
      <c r="V49" s="612">
        <f>ROUND(SUM(D49)+SUM(H49)+SUM(L49)+SUM(P49),1)</f>
        <v>2192.6</v>
      </c>
      <c r="W49" s="19" t="s">
        <v>14</v>
      </c>
      <c r="X49" s="19">
        <f>ROUND(SUM(F49)+SUM(J49)+SUM(N49)+SUM(R49),1)</f>
        <v>50190.8</v>
      </c>
      <c r="Y49" s="2279"/>
      <c r="Z49" s="2280"/>
      <c r="AA49" s="1409"/>
      <c r="AB49" s="2020">
        <v>2997.8999999999996</v>
      </c>
      <c r="AC49" s="19"/>
      <c r="AD49" s="1409">
        <f>'Exhibit F'!AF124+'Exhibit F'!AF125+'Exhibit F'!AF126+'Exhibit F'!AF127+'Exhibit G'!AG114+'Exhibit H'!AD68+'Exhibit I'!AI93</f>
        <v>28623.4</v>
      </c>
      <c r="AE49" s="1409"/>
      <c r="AF49" s="2254"/>
      <c r="AG49" s="14">
        <f>ROUND(SUM(X49-AD49),1)</f>
        <v>21567.4</v>
      </c>
      <c r="AH49" s="2276"/>
      <c r="AI49" s="1410">
        <f>ROUND(SUM((+X49-AD49)/ABS(AD49)),3)</f>
        <v>0.753</v>
      </c>
      <c r="AJ49" s="7"/>
      <c r="AK49" s="2218"/>
      <c r="AL49" s="2218"/>
    </row>
    <row r="50" spans="1:40" ht="18" customHeight="1">
      <c r="A50" s="2274" t="s">
        <v>47</v>
      </c>
      <c r="B50" s="2278" t="s">
        <v>1151</v>
      </c>
      <c r="C50" s="2274"/>
      <c r="D50" s="1406">
        <f>+'Exhibit F'!V128+'Exhibit F'!V130+'Exhibit F'!V131+'Exhibit F'!V129</f>
        <v>-531.099999999999</v>
      </c>
      <c r="E50" s="19"/>
      <c r="F50" s="19">
        <f>+'Exhibit F'!AC128+'Exhibit F'!AC130+'Exhibit F'!AC131+'Exhibit F'!AC129</f>
        <v>-7256.9</v>
      </c>
      <c r="G50" s="19"/>
      <c r="H50" s="612">
        <f>'Exhibit G'!V115+20.6</f>
        <v>-164.89999999999978</v>
      </c>
      <c r="I50" s="19"/>
      <c r="J50" s="19">
        <f>+'Exhibit G'!AD115</f>
        <v>-1395.1</v>
      </c>
      <c r="K50" s="19"/>
      <c r="L50" s="1406">
        <f>+'Exhibit H'!T69</f>
        <v>-1490.7999999999975</v>
      </c>
      <c r="M50" s="1409"/>
      <c r="N50" s="19">
        <f>+'Exhibit H'!AA69</f>
        <v>-41282.699999999997</v>
      </c>
      <c r="O50" s="1409"/>
      <c r="P50" s="1405">
        <f>'Exhibit I'!W94</f>
        <v>-8.7999999999999545</v>
      </c>
      <c r="Q50" s="612"/>
      <c r="R50" s="1406">
        <f>+'Exhibit I'!AF94</f>
        <v>-342.8</v>
      </c>
      <c r="S50" s="2279"/>
      <c r="T50" s="2279"/>
      <c r="U50" s="1409"/>
      <c r="V50" s="612">
        <f>ROUND(SUM(D50)+SUM(H50)+SUM(L50)+SUM(P50),1)</f>
        <v>-2195.6</v>
      </c>
      <c r="W50" s="19" t="s">
        <v>14</v>
      </c>
      <c r="X50" s="19">
        <f>ROUND(SUM(F50)+SUM(J50)+SUM(N50)+SUM(R50),1)</f>
        <v>-50277.5</v>
      </c>
      <c r="Y50" s="2279"/>
      <c r="Z50" s="2280"/>
      <c r="AA50" s="1409"/>
      <c r="AB50" s="2020">
        <v>-2999.2</v>
      </c>
      <c r="AC50" s="19"/>
      <c r="AD50" s="1409">
        <f>'Exhibit F'!AF128+'Exhibit F'!AF129+'Exhibit F'!AF130+'Exhibit F'!AF131+'Exhibit G'!AG115+'Exhibit H'!AD69+'Exhibit I'!AI94</f>
        <v>-28835.7</v>
      </c>
      <c r="AE50" s="1409"/>
      <c r="AF50" s="2254"/>
      <c r="AG50" s="2281">
        <f>ROUND(SUM(X50-AD50),1)*-1</f>
        <v>21441.8</v>
      </c>
      <c r="AI50" s="1411">
        <f>-ROUND(SUM((+X50-AD50)/ABS(AD50)),3)</f>
        <v>0.74399999999999999</v>
      </c>
      <c r="AJ50" s="606" t="s">
        <v>14</v>
      </c>
      <c r="AK50" s="2218"/>
      <c r="AL50" s="2218"/>
    </row>
    <row r="51" spans="1:40" ht="18" customHeight="1">
      <c r="A51" s="2228" t="s">
        <v>48</v>
      </c>
      <c r="B51" s="2228"/>
      <c r="C51" s="2229"/>
      <c r="D51" s="12">
        <f>ROUND(SUM(D48:D50),1)</f>
        <v>988.3</v>
      </c>
      <c r="E51" s="9"/>
      <c r="F51" s="1539">
        <f>ROUND(SUM(F48:F50),1)</f>
        <v>34448.5</v>
      </c>
      <c r="G51" s="20"/>
      <c r="H51" s="1539">
        <f>ROUND(SUM(H48:H50),1)</f>
        <v>-131.69999999999999</v>
      </c>
      <c r="I51" s="20"/>
      <c r="J51" s="1539">
        <f>ROUND(SUM(J48:J50),1)</f>
        <v>838.4</v>
      </c>
      <c r="K51" s="20"/>
      <c r="L51" s="1539">
        <f>ROUND(SUM(L48:L50),1)</f>
        <v>-1203.2</v>
      </c>
      <c r="M51" s="20"/>
      <c r="N51" s="1539">
        <f>ROUND(SUM(N48:N50),1)</f>
        <v>-39812.1</v>
      </c>
      <c r="O51" s="20"/>
      <c r="P51" s="1539">
        <f>ROUND(SUM(P48:P50),1)</f>
        <v>343.6</v>
      </c>
      <c r="Q51" s="20"/>
      <c r="R51" s="1539">
        <f>ROUND(SUM(R48:R50),1)</f>
        <v>4438.5</v>
      </c>
      <c r="S51" s="2283"/>
      <c r="T51" s="2283"/>
      <c r="U51" s="1462"/>
      <c r="V51" s="2282">
        <f>ROUND(SUM(V48+V49+V50),1)</f>
        <v>-3</v>
      </c>
      <c r="W51" s="20"/>
      <c r="X51" s="2282">
        <f>ROUND(SUM(+X48+X49+X50),1)</f>
        <v>-86.7</v>
      </c>
      <c r="Y51" s="2283"/>
      <c r="Z51" s="2284"/>
      <c r="AA51" s="1462"/>
      <c r="AB51" s="2282">
        <f>ROUND(SUM(+AB48+AB49+AB50),1)</f>
        <v>-1.3</v>
      </c>
      <c r="AC51" s="20"/>
      <c r="AD51" s="2282">
        <f>ROUND(SUM(+AD48+AD49+AD50),1)</f>
        <v>-212.3</v>
      </c>
      <c r="AE51" s="3880"/>
      <c r="AF51" s="2259"/>
      <c r="AG51" s="11">
        <f>ROUND(SUM(+AG49-AG50+AG48),1)</f>
        <v>125.6</v>
      </c>
      <c r="AH51" s="2260"/>
      <c r="AI51" s="1412">
        <f>-ROUND(SUM(AG51/AD51),3)</f>
        <v>0.59199999999999997</v>
      </c>
      <c r="AJ51" s="2230"/>
      <c r="AK51" s="2218"/>
      <c r="AL51" s="2218"/>
    </row>
    <row r="52" spans="1:40" ht="16.350000000000001" customHeight="1">
      <c r="A52" s="2229"/>
      <c r="B52" s="2229"/>
      <c r="C52" s="2229"/>
      <c r="D52" s="609"/>
      <c r="E52" s="9"/>
      <c r="F52" s="1406" t="s">
        <v>14</v>
      </c>
      <c r="G52" s="19"/>
      <c r="H52" s="1406" t="s">
        <v>14</v>
      </c>
      <c r="I52" s="19"/>
      <c r="J52" s="1409"/>
      <c r="K52" s="19"/>
      <c r="L52" s="1406" t="s">
        <v>14</v>
      </c>
      <c r="M52" s="19"/>
      <c r="N52" s="1409"/>
      <c r="O52" s="19"/>
      <c r="P52" s="1406" t="s">
        <v>14</v>
      </c>
      <c r="Q52" s="612"/>
      <c r="R52" s="1406" t="s">
        <v>14</v>
      </c>
      <c r="S52" s="2279"/>
      <c r="T52" s="2279"/>
      <c r="U52" s="1409"/>
      <c r="V52" s="1406"/>
      <c r="W52" s="19"/>
      <c r="X52" s="1409"/>
      <c r="Y52" s="2279"/>
      <c r="Z52" s="2280"/>
      <c r="AA52" s="1409"/>
      <c r="AB52" s="1406"/>
      <c r="AC52" s="19"/>
      <c r="AD52" s="1409"/>
      <c r="AE52" s="1409"/>
      <c r="AF52" s="2254"/>
      <c r="AG52" s="14"/>
      <c r="AI52" s="1413"/>
      <c r="AJ52" s="7"/>
      <c r="AK52" s="2218"/>
      <c r="AL52" s="2218"/>
    </row>
    <row r="53" spans="1:40" ht="18" customHeight="1">
      <c r="A53" s="2227" t="s">
        <v>43</v>
      </c>
      <c r="B53" s="2228"/>
      <c r="C53" s="2229"/>
      <c r="D53" s="608" t="s">
        <v>14</v>
      </c>
      <c r="E53" s="9"/>
      <c r="F53" s="608" t="s">
        <v>14</v>
      </c>
      <c r="G53" s="9"/>
      <c r="H53" s="608" t="s">
        <v>14</v>
      </c>
      <c r="I53" s="9"/>
      <c r="J53" s="19"/>
      <c r="K53" s="19"/>
      <c r="L53" s="612" t="s">
        <v>14</v>
      </c>
      <c r="M53" s="19"/>
      <c r="N53" s="19"/>
      <c r="O53" s="19"/>
      <c r="P53" s="612" t="s">
        <v>14</v>
      </c>
      <c r="Q53" s="612"/>
      <c r="R53" s="612"/>
      <c r="S53" s="2279"/>
      <c r="T53" s="2279"/>
      <c r="U53" s="1409"/>
      <c r="V53" s="612" t="s">
        <v>14</v>
      </c>
      <c r="W53" s="19"/>
      <c r="X53" s="19"/>
      <c r="Y53" s="2279"/>
      <c r="Z53" s="2280"/>
      <c r="AA53" s="1409"/>
      <c r="AB53" s="612"/>
      <c r="AC53" s="19"/>
      <c r="AD53" s="1409"/>
      <c r="AE53" s="1409"/>
      <c r="AF53" s="2254"/>
      <c r="AG53" s="9"/>
      <c r="AI53" s="1414"/>
      <c r="AJ53" s="7"/>
      <c r="AK53" s="2218"/>
      <c r="AL53" s="2218"/>
    </row>
    <row r="54" spans="1:40" ht="18" customHeight="1">
      <c r="A54" s="2227" t="s">
        <v>49</v>
      </c>
      <c r="B54" s="2227"/>
      <c r="C54" s="2274"/>
      <c r="D54" s="612"/>
      <c r="E54" s="19"/>
      <c r="F54" s="19"/>
      <c r="G54" s="19"/>
      <c r="H54" s="608"/>
      <c r="I54" s="9"/>
      <c r="J54" s="19"/>
      <c r="K54" s="19"/>
      <c r="L54" s="612"/>
      <c r="M54" s="19"/>
      <c r="N54" s="19"/>
      <c r="O54" s="19"/>
      <c r="P54" s="612"/>
      <c r="Q54" s="612"/>
      <c r="R54" s="612"/>
      <c r="S54" s="2279"/>
      <c r="T54" s="2279"/>
      <c r="U54" s="1409"/>
      <c r="V54" s="612" t="s">
        <v>14</v>
      </c>
      <c r="W54" s="19"/>
      <c r="X54" s="19"/>
      <c r="Y54" s="2279"/>
      <c r="Z54" s="2280"/>
      <c r="AA54" s="1409"/>
      <c r="AB54" s="612"/>
      <c r="AC54" s="19"/>
      <c r="AD54" s="1409"/>
      <c r="AE54" s="1409"/>
      <c r="AF54" s="2254"/>
      <c r="AG54" s="9"/>
      <c r="AI54" s="1413"/>
      <c r="AJ54" s="7"/>
      <c r="AK54" s="2218"/>
      <c r="AL54" s="2218"/>
    </row>
    <row r="55" spans="1:40" ht="18" customHeight="1">
      <c r="A55" s="2227" t="s">
        <v>50</v>
      </c>
      <c r="B55" s="2227"/>
      <c r="C55" s="2274"/>
      <c r="D55" s="20">
        <f>ROUND(SUM(D45+D51),1)</f>
        <v>1347.8</v>
      </c>
      <c r="E55" s="20"/>
      <c r="F55" s="20">
        <f>ROUND(SUM(F45)+SUM(F51),1)</f>
        <v>22846.7</v>
      </c>
      <c r="G55" s="20"/>
      <c r="H55" s="20">
        <f>ROUND(SUM(H45+H51),1)</f>
        <v>-371.6</v>
      </c>
      <c r="I55" s="20"/>
      <c r="J55" s="20">
        <f>ROUND(SUM(J45)+SUM(J51),1)</f>
        <v>16162.8</v>
      </c>
      <c r="K55" s="20"/>
      <c r="L55" s="20">
        <f>ROUND(SUM(L45+L51),1)</f>
        <v>5714</v>
      </c>
      <c r="M55" s="20"/>
      <c r="N55" s="20">
        <f>ROUND(SUM(N45+N51),1)</f>
        <v>5992.2</v>
      </c>
      <c r="O55" s="20"/>
      <c r="P55" s="20">
        <f>ROUND(SUM(P45+P51),1)</f>
        <v>49</v>
      </c>
      <c r="Q55" s="20"/>
      <c r="R55" s="20">
        <f>ROUND(SUM(R45+R51),1)</f>
        <v>-470.3</v>
      </c>
      <c r="S55" s="2283"/>
      <c r="T55" s="2283"/>
      <c r="U55" s="1462"/>
      <c r="V55" s="20">
        <f>ROUND(SUM(V45)+SUM(V51),1)</f>
        <v>6739.2</v>
      </c>
      <c r="W55" s="20"/>
      <c r="X55" s="20">
        <f>ROUND(SUM(X45)+SUM(X51),1)</f>
        <v>44531.4</v>
      </c>
      <c r="Y55" s="2283"/>
      <c r="Z55" s="2284"/>
      <c r="AA55" s="1462"/>
      <c r="AB55" s="20">
        <f>ROUND(SUM(AB45)+SUM(AB51),1)</f>
        <v>5961.8</v>
      </c>
      <c r="AC55" s="20"/>
      <c r="AD55" s="20">
        <f>ROUND(SUM(AD45)+SUM(AD51),1)</f>
        <v>21287.1</v>
      </c>
      <c r="AE55" s="1462"/>
      <c r="AF55" s="2259"/>
      <c r="AG55" s="2258">
        <f>ROUND(SUM(+AG45+AG51),1)</f>
        <v>23244.3</v>
      </c>
      <c r="AH55" s="2260"/>
      <c r="AI55" s="1474">
        <f>ROUND(SUM((+X55-AD55)/ABS(AD55)),3)</f>
        <v>1.0920000000000001</v>
      </c>
      <c r="AJ55" s="2285"/>
      <c r="AK55" s="2286"/>
      <c r="AL55" s="2218"/>
    </row>
    <row r="56" spans="1:40" ht="16.350000000000001" customHeight="1">
      <c r="A56" s="2228"/>
      <c r="B56" s="2227"/>
      <c r="C56" s="2274"/>
      <c r="D56" s="612"/>
      <c r="E56" s="19"/>
      <c r="F56" s="1409"/>
      <c r="G56" s="19"/>
      <c r="H56" s="612"/>
      <c r="I56" s="19"/>
      <c r="J56" s="19"/>
      <c r="K56" s="19"/>
      <c r="L56" s="612"/>
      <c r="M56" s="19"/>
      <c r="N56" s="19"/>
      <c r="O56" s="19"/>
      <c r="P56" s="1406"/>
      <c r="Q56" s="612"/>
      <c r="R56" s="612"/>
      <c r="S56" s="2279"/>
      <c r="T56" s="2279"/>
      <c r="U56" s="1409"/>
      <c r="V56" s="612"/>
      <c r="W56" s="19"/>
      <c r="X56" s="19"/>
      <c r="Y56" s="2279"/>
      <c r="Z56" s="2280"/>
      <c r="AA56" s="1409"/>
      <c r="AB56" s="612"/>
      <c r="AC56" s="19"/>
      <c r="AD56" s="1409"/>
      <c r="AE56" s="1409"/>
      <c r="AF56" s="2254"/>
      <c r="AG56" s="9"/>
      <c r="AI56" s="1413"/>
      <c r="AJ56" s="7"/>
      <c r="AK56" s="2218"/>
      <c r="AL56" s="2218"/>
    </row>
    <row r="57" spans="1:40" s="2213" customFormat="1" ht="18" customHeight="1">
      <c r="A57" s="2288" t="s">
        <v>51</v>
      </c>
      <c r="B57" s="3047" t="s">
        <v>1468</v>
      </c>
      <c r="C57" s="2274"/>
      <c r="D57" s="1631">
        <f>+'Exhibit F'!V12</f>
        <v>30659.7</v>
      </c>
      <c r="E57" s="20"/>
      <c r="F57" s="1631">
        <f>'Exhibit F'!D12</f>
        <v>9160.7999999999993</v>
      </c>
      <c r="G57" s="20"/>
      <c r="H57" s="1631">
        <f>+'Exhibit G'!V13</f>
        <v>27203.7</v>
      </c>
      <c r="I57" s="20"/>
      <c r="J57" s="1631">
        <f>'Exhibit G'!D13</f>
        <v>10669.3</v>
      </c>
      <c r="K57" s="20"/>
      <c r="L57" s="1631">
        <f>'Exhibit H'!T12</f>
        <v>343.2</v>
      </c>
      <c r="M57" s="20"/>
      <c r="N57" s="1631">
        <f>'Exhibit H'!B12</f>
        <v>65</v>
      </c>
      <c r="O57" s="1462"/>
      <c r="P57" s="1631">
        <f>+'Exhibit I'!W15</f>
        <v>-1663.3</v>
      </c>
      <c r="Q57" s="1462"/>
      <c r="R57" s="1631">
        <f>'Exhibit I'!E15</f>
        <v>-1144</v>
      </c>
      <c r="S57" s="2283"/>
      <c r="T57" s="2283"/>
      <c r="U57" s="1462"/>
      <c r="V57" s="1631">
        <f>D57+H57+L57+P57</f>
        <v>56543.299999999996</v>
      </c>
      <c r="W57" s="20"/>
      <c r="X57" s="1631">
        <f>F57+J57+N57+R57</f>
        <v>18751.099999999999</v>
      </c>
      <c r="Y57" s="2283"/>
      <c r="Z57" s="2284"/>
      <c r="AA57" s="1462"/>
      <c r="AB57" s="3810">
        <v>29610.100000000002</v>
      </c>
      <c r="AC57" s="20"/>
      <c r="AD57" s="1631">
        <f>'Exhibit F'!AF12+'Exhibit G'!AG13+'Exhibit H'!AD12+'Exhibit I'!AI15</f>
        <v>14284.800000000001</v>
      </c>
      <c r="AE57" s="1462"/>
      <c r="AF57" s="3023"/>
      <c r="AG57" s="1631">
        <f>ROUND(SUM(X57-AD57),1)</f>
        <v>4466.3</v>
      </c>
      <c r="AH57" s="3014"/>
      <c r="AI57" s="3024">
        <f>ROUND(SUM((+X57-AD57)/ABS(AD57)),3)</f>
        <v>0.313</v>
      </c>
      <c r="AJ57" s="2285"/>
      <c r="AK57" s="3021"/>
      <c r="AL57" s="3021"/>
    </row>
    <row r="58" spans="1:40" s="2213" customFormat="1" ht="16.350000000000001" customHeight="1">
      <c r="A58" s="2274"/>
      <c r="B58" s="2274"/>
      <c r="C58" s="2274"/>
      <c r="D58" s="1406"/>
      <c r="E58" s="19"/>
      <c r="F58" s="1409"/>
      <c r="G58" s="19"/>
      <c r="H58" s="1406"/>
      <c r="I58" s="19"/>
      <c r="J58" s="1409"/>
      <c r="K58" s="19"/>
      <c r="L58" s="1406"/>
      <c r="M58" s="19"/>
      <c r="N58" s="1409"/>
      <c r="O58" s="19"/>
      <c r="P58" s="1406"/>
      <c r="Q58" s="612"/>
      <c r="R58" s="1406"/>
      <c r="S58" s="2279"/>
      <c r="T58" s="2279"/>
      <c r="U58" s="1409"/>
      <c r="V58" s="1406"/>
      <c r="W58" s="19"/>
      <c r="X58" s="1409"/>
      <c r="Y58" s="2279"/>
      <c r="Z58" s="2280"/>
      <c r="AA58" s="1409"/>
      <c r="AB58" s="1406"/>
      <c r="AC58" s="19"/>
      <c r="AD58" s="1409"/>
      <c r="AE58" s="1409"/>
      <c r="AF58" s="3022"/>
      <c r="AG58" s="1409"/>
      <c r="AI58" s="3020"/>
      <c r="AJ58" s="2239"/>
      <c r="AK58" s="3021"/>
      <c r="AL58" s="3021"/>
    </row>
    <row r="59" spans="1:40" s="2213" customFormat="1" ht="18" customHeight="1" thickBot="1">
      <c r="A59" s="2288" t="s">
        <v>52</v>
      </c>
      <c r="B59" s="2289"/>
      <c r="C59" s="3012"/>
      <c r="D59" s="22">
        <f>ROUND(SUM(D55+D57),1)</f>
        <v>32007.5</v>
      </c>
      <c r="E59" s="2290"/>
      <c r="F59" s="22">
        <f>ROUND(SUM(F55+F57),1)</f>
        <v>32007.5</v>
      </c>
      <c r="G59" s="2290"/>
      <c r="H59" s="22">
        <f>ROUND(SUM(H55+H57),1)</f>
        <v>26832.1</v>
      </c>
      <c r="I59" s="2290"/>
      <c r="J59" s="22">
        <f>ROUND(SUM(J55)+SUM(J57),1)</f>
        <v>26832.1</v>
      </c>
      <c r="K59" s="2290"/>
      <c r="L59" s="22">
        <f>ROUND(SUM(L55+L57),1)</f>
        <v>6057.2</v>
      </c>
      <c r="M59" s="2290"/>
      <c r="N59" s="22">
        <f>ROUND(SUM(N55+N57),1)</f>
        <v>6057.2</v>
      </c>
      <c r="O59" s="2290"/>
      <c r="P59" s="22">
        <f>ROUND(SUM(P55+P57),1)</f>
        <v>-1614.3</v>
      </c>
      <c r="Q59" s="2290"/>
      <c r="R59" s="22">
        <f>ROUND(SUM(R55+R57),1)</f>
        <v>-1614.3</v>
      </c>
      <c r="S59" s="2291"/>
      <c r="T59" s="2291"/>
      <c r="U59" s="2292"/>
      <c r="V59" s="22">
        <f>ROUND(SUM(V55+V57),1)</f>
        <v>63282.5</v>
      </c>
      <c r="W59" s="2290"/>
      <c r="X59" s="22">
        <f>ROUND(SUM(X55+X57),1)</f>
        <v>63282.5</v>
      </c>
      <c r="Y59" s="2291"/>
      <c r="Z59" s="2293"/>
      <c r="AA59" s="2292"/>
      <c r="AB59" s="22">
        <f>ROUND(SUM(AB55+AB57),1)</f>
        <v>35571.9</v>
      </c>
      <c r="AC59" s="2290"/>
      <c r="AD59" s="22">
        <f>ROUND(SUM(AD55+AD57),1)</f>
        <v>35571.9</v>
      </c>
      <c r="AE59" s="2292"/>
      <c r="AF59" s="3013"/>
      <c r="AG59" s="22">
        <f>ROUND(SUM(AG55+AG57),1)</f>
        <v>27710.6</v>
      </c>
      <c r="AH59" s="3014"/>
      <c r="AI59" s="3015">
        <f>ROUND(SUM((+X59-AD59)/ABS(AD59)),3)</f>
        <v>0.77900000000000003</v>
      </c>
      <c r="AJ59" s="2295"/>
      <c r="AK59" s="3016"/>
      <c r="AL59" s="3016"/>
      <c r="AM59" s="3017"/>
      <c r="AN59" s="3014"/>
    </row>
    <row r="60" spans="1:40" s="2213" customFormat="1" ht="15.6" thickTop="1">
      <c r="A60" s="3018"/>
      <c r="B60" s="3018"/>
      <c r="C60" s="3018"/>
      <c r="D60" s="3368"/>
      <c r="E60" s="2361"/>
      <c r="F60" s="2361"/>
      <c r="G60" s="2361"/>
      <c r="H60" s="3368"/>
      <c r="I60" s="2361"/>
      <c r="J60" s="2361"/>
      <c r="K60" s="2361"/>
      <c r="L60" s="3368"/>
      <c r="M60" s="2361"/>
      <c r="N60" s="2361"/>
      <c r="O60" s="2361"/>
      <c r="P60" s="2361"/>
      <c r="Q60" s="2361"/>
      <c r="R60" s="2361"/>
      <c r="S60" s="2299"/>
      <c r="T60" s="2299"/>
      <c r="U60" s="2299"/>
      <c r="V60" s="2298"/>
      <c r="W60" s="2299"/>
      <c r="X60" s="2361"/>
      <c r="Y60" s="2299"/>
      <c r="Z60" s="2299"/>
      <c r="AA60" s="2299"/>
      <c r="AB60" s="2298"/>
      <c r="AC60" s="3329"/>
      <c r="AD60" s="2299"/>
      <c r="AE60" s="2299"/>
      <c r="AF60" s="2299"/>
      <c r="AG60" s="2299"/>
      <c r="AI60" s="3019"/>
      <c r="AJ60" s="3020"/>
      <c r="AK60" s="3021"/>
      <c r="AL60" s="3021"/>
    </row>
    <row r="61" spans="1:40" ht="15.6">
      <c r="A61" s="2301"/>
      <c r="B61" s="3765"/>
      <c r="C61" s="3765"/>
      <c r="D61" s="2303"/>
      <c r="E61" s="2312"/>
      <c r="F61" s="2312" t="s">
        <v>14</v>
      </c>
      <c r="G61" s="2312"/>
      <c r="H61" s="2303"/>
      <c r="I61" s="2312"/>
      <c r="J61" s="2312"/>
      <c r="K61" s="2312"/>
      <c r="L61" s="2303"/>
      <c r="M61" s="2312"/>
      <c r="N61" s="2312"/>
      <c r="O61" s="2312"/>
      <c r="P61" s="3313"/>
      <c r="Q61" s="2312"/>
      <c r="R61" s="2312"/>
      <c r="S61" s="2312"/>
      <c r="T61" s="2312" t="s">
        <v>14</v>
      </c>
      <c r="U61" s="2312"/>
      <c r="V61" s="2303" t="s">
        <v>14</v>
      </c>
      <c r="W61" s="2312"/>
      <c r="X61" s="2312"/>
      <c r="Y61" s="2312"/>
      <c r="Z61" s="2312"/>
      <c r="AA61" s="2312"/>
      <c r="AB61" s="2303"/>
      <c r="AC61" s="2312"/>
      <c r="AI61" s="2300"/>
      <c r="AJ61" s="1413"/>
      <c r="AK61" s="2218"/>
      <c r="AL61" s="2218"/>
    </row>
    <row r="62" spans="1:40" ht="15">
      <c r="A62" s="2276"/>
      <c r="B62" s="2312"/>
      <c r="C62" s="2312"/>
      <c r="D62" s="2303"/>
      <c r="E62" s="2312"/>
      <c r="F62" s="2312"/>
      <c r="G62" s="2312"/>
      <c r="H62" s="2303"/>
      <c r="I62" s="2312"/>
      <c r="J62" s="2312"/>
      <c r="K62" s="2312"/>
      <c r="L62" s="2303"/>
      <c r="M62" s="2312"/>
      <c r="N62" s="2312"/>
      <c r="O62" s="2312"/>
      <c r="P62" s="2312"/>
      <c r="Q62" s="2312"/>
      <c r="R62" s="2312"/>
      <c r="S62" s="2312"/>
      <c r="T62" s="2312"/>
      <c r="U62" s="2312"/>
      <c r="V62" s="2303" t="s">
        <v>14</v>
      </c>
      <c r="W62" s="2312"/>
      <c r="X62" s="2312"/>
      <c r="Y62" s="2312"/>
      <c r="Z62" s="2312"/>
      <c r="AA62" s="2312"/>
      <c r="AB62" s="3370"/>
      <c r="AC62" s="2312"/>
      <c r="AD62" s="2304"/>
      <c r="AI62" s="2300"/>
      <c r="AJ62" s="1413"/>
      <c r="AK62" s="2218"/>
      <c r="AL62" s="2218"/>
    </row>
    <row r="63" spans="1:40" ht="15">
      <c r="A63" s="2276"/>
      <c r="B63" s="2312"/>
      <c r="C63" s="2312"/>
      <c r="D63" s="2303"/>
      <c r="E63" s="2312"/>
      <c r="F63" s="2312"/>
      <c r="G63" s="2312"/>
      <c r="H63" s="2303"/>
      <c r="I63" s="2312"/>
      <c r="J63" s="2312"/>
      <c r="K63" s="2312"/>
      <c r="L63" s="2303"/>
      <c r="M63" s="2312"/>
      <c r="N63" s="2312"/>
      <c r="O63" s="2312"/>
      <c r="P63" s="2312"/>
      <c r="Q63" s="2312"/>
      <c r="R63" s="2312"/>
      <c r="S63" s="2312"/>
      <c r="T63" s="2312"/>
      <c r="U63" s="2312"/>
      <c r="V63" s="2303" t="s">
        <v>14</v>
      </c>
      <c r="W63" s="2312"/>
      <c r="X63" s="2312"/>
      <c r="Y63" s="2312"/>
      <c r="Z63" s="2312"/>
      <c r="AA63" s="2312"/>
      <c r="AB63" s="3370"/>
      <c r="AC63" s="2312"/>
      <c r="AI63" s="2305"/>
      <c r="AJ63" s="1413"/>
      <c r="AK63" s="2218"/>
      <c r="AL63" s="2218"/>
    </row>
    <row r="64" spans="1:40" ht="15.6">
      <c r="A64" s="2306"/>
      <c r="B64" s="2312"/>
      <c r="C64" s="2312"/>
      <c r="D64" s="2303"/>
      <c r="E64" s="2312"/>
      <c r="F64" s="2312"/>
      <c r="G64" s="2312"/>
      <c r="H64" s="2303"/>
      <c r="I64" s="2312"/>
      <c r="J64" s="2312"/>
      <c r="K64" s="2312"/>
      <c r="L64" s="2303"/>
      <c r="M64" s="2312"/>
      <c r="N64" s="2312"/>
      <c r="O64" s="2312"/>
      <c r="P64" s="2312"/>
      <c r="Q64" s="2312"/>
      <c r="R64" s="2312"/>
      <c r="S64" s="2312"/>
      <c r="T64" s="2312"/>
      <c r="U64" s="2312"/>
      <c r="V64" s="2303"/>
      <c r="W64" s="2312"/>
      <c r="X64" s="2312"/>
      <c r="Y64" s="2312"/>
      <c r="Z64" s="2312"/>
      <c r="AA64" s="2312"/>
      <c r="AB64" s="2303"/>
      <c r="AC64" s="2312"/>
      <c r="AI64" s="2305"/>
      <c r="AJ64" s="2218"/>
      <c r="AK64" s="2218"/>
      <c r="AL64" s="2218"/>
    </row>
    <row r="65" spans="1:38" ht="15.6">
      <c r="A65" s="2306"/>
      <c r="B65" s="2312"/>
      <c r="C65" s="2312"/>
      <c r="D65" s="2303"/>
      <c r="E65" s="2312"/>
      <c r="F65" s="2312"/>
      <c r="G65" s="2312"/>
      <c r="H65" s="2303"/>
      <c r="I65" s="2312"/>
      <c r="J65" s="2312"/>
      <c r="K65" s="2312"/>
      <c r="L65" s="2303"/>
      <c r="M65" s="2312"/>
      <c r="N65" s="2312"/>
      <c r="O65" s="2312"/>
      <c r="P65" s="2312"/>
      <c r="Q65" s="2312"/>
      <c r="R65" s="2312"/>
      <c r="S65" s="2312"/>
      <c r="T65" s="2312"/>
      <c r="U65" s="2312"/>
      <c r="V65" s="2303"/>
      <c r="W65" s="2312"/>
      <c r="X65" s="2312"/>
      <c r="Y65" s="2312"/>
      <c r="Z65" s="2312"/>
      <c r="AA65" s="2312"/>
      <c r="AB65" s="3370"/>
      <c r="AC65" s="2312"/>
      <c r="AI65" s="2305"/>
      <c r="AJ65" s="2218"/>
      <c r="AK65" s="2218"/>
      <c r="AL65" s="2218"/>
    </row>
    <row r="66" spans="1:38" ht="15.6">
      <c r="A66" s="2307"/>
      <c r="B66" s="3766"/>
      <c r="C66" s="3313"/>
      <c r="D66" s="3767"/>
      <c r="E66" s="3768"/>
      <c r="F66" s="3768"/>
      <c r="G66" s="3768"/>
      <c r="H66" s="3767"/>
      <c r="I66" s="3768"/>
      <c r="J66" s="3768"/>
      <c r="K66" s="3768"/>
      <c r="L66" s="3767"/>
      <c r="M66" s="2312"/>
      <c r="N66" s="2312"/>
      <c r="O66" s="2312"/>
      <c r="P66" s="2312"/>
      <c r="Q66" s="2312"/>
      <c r="R66" s="2312"/>
      <c r="S66" s="2312"/>
      <c r="T66" s="2312"/>
      <c r="U66" s="2312"/>
      <c r="V66" s="2303"/>
      <c r="W66" s="2312"/>
      <c r="X66" s="2312"/>
      <c r="Y66" s="2312"/>
      <c r="Z66" s="2312"/>
      <c r="AA66" s="2312"/>
      <c r="AB66" s="2303"/>
      <c r="AC66" s="2312"/>
      <c r="AI66" s="2305"/>
      <c r="AJ66" s="2218"/>
      <c r="AK66" s="2218"/>
      <c r="AL66" s="2218"/>
    </row>
    <row r="67" spans="1:38" ht="15">
      <c r="A67" s="1413"/>
      <c r="B67" s="1413"/>
      <c r="C67" s="1413"/>
      <c r="D67" s="2311"/>
      <c r="E67" s="1413"/>
      <c r="F67" s="1413"/>
      <c r="G67" s="1413"/>
      <c r="H67" s="2311"/>
      <c r="I67" s="1413"/>
      <c r="J67" s="1413"/>
      <c r="K67" s="1413"/>
      <c r="L67" s="2311"/>
      <c r="M67" s="2276"/>
      <c r="N67" s="2276" t="s">
        <v>14</v>
      </c>
      <c r="O67" s="2276"/>
      <c r="P67" s="2276"/>
      <c r="Q67" s="2276"/>
      <c r="R67" s="2276"/>
      <c r="S67" s="2276"/>
      <c r="T67" s="2276"/>
      <c r="U67" s="2276"/>
      <c r="V67" s="2302"/>
      <c r="W67" s="2276"/>
      <c r="X67" s="2312"/>
      <c r="Y67" s="2276"/>
      <c r="Z67" s="2276"/>
      <c r="AA67" s="2276"/>
      <c r="AB67" s="2303"/>
      <c r="AC67" s="2312"/>
      <c r="AI67" s="2305"/>
      <c r="AJ67" s="2218"/>
      <c r="AK67" s="2218"/>
      <c r="AL67" s="2218"/>
    </row>
    <row r="68" spans="1:38" ht="15">
      <c r="A68" s="1413"/>
      <c r="B68" s="1413"/>
      <c r="C68" s="1413"/>
      <c r="D68" s="2311"/>
      <c r="E68" s="1413"/>
      <c r="F68" s="1413"/>
      <c r="G68" s="1413"/>
      <c r="H68" s="2311"/>
      <c r="I68" s="1413"/>
      <c r="J68" s="1413"/>
      <c r="K68" s="1413"/>
      <c r="L68" s="2311"/>
      <c r="M68" s="2276"/>
      <c r="N68" s="2276" t="s">
        <v>14</v>
      </c>
      <c r="O68" s="2276"/>
      <c r="P68" s="2276"/>
      <c r="Q68" s="2276"/>
      <c r="R68" s="2276"/>
      <c r="S68" s="2276"/>
      <c r="T68" s="2276"/>
      <c r="U68" s="2276"/>
      <c r="V68" s="2302"/>
      <c r="W68" s="2276"/>
      <c r="X68" s="2312"/>
      <c r="Y68" s="2276"/>
      <c r="Z68" s="2276"/>
      <c r="AA68" s="2276"/>
      <c r="AB68" s="2303"/>
      <c r="AC68" s="2312"/>
      <c r="AI68" s="2305"/>
      <c r="AJ68" s="2218"/>
      <c r="AK68" s="2218"/>
      <c r="AL68" s="2218"/>
    </row>
    <row r="69" spans="1:38" ht="15">
      <c r="A69" s="1413"/>
      <c r="B69" s="1413"/>
      <c r="C69" s="1413"/>
      <c r="D69" s="2311"/>
      <c r="E69" s="1413"/>
      <c r="F69" s="1413"/>
      <c r="G69" s="1413"/>
      <c r="H69" s="2311"/>
      <c r="I69" s="1413"/>
      <c r="J69" s="1413"/>
      <c r="K69" s="1413"/>
      <c r="L69" s="2311"/>
      <c r="M69" s="2276"/>
      <c r="N69" s="2276"/>
      <c r="O69" s="2276"/>
      <c r="P69" s="2276"/>
      <c r="Q69" s="2276"/>
      <c r="R69" s="2276"/>
      <c r="S69" s="2276"/>
      <c r="T69" s="2276"/>
      <c r="U69" s="2276"/>
      <c r="V69" s="2302"/>
      <c r="W69" s="2276"/>
      <c r="X69" s="2312"/>
      <c r="Y69" s="2276"/>
      <c r="Z69" s="2276"/>
      <c r="AA69" s="2276"/>
      <c r="AB69" s="2303"/>
      <c r="AI69" s="2305"/>
      <c r="AJ69" s="2218"/>
      <c r="AK69" s="2218"/>
      <c r="AL69" s="2218"/>
    </row>
    <row r="70" spans="1:38" ht="15">
      <c r="AI70" s="2305"/>
      <c r="AJ70" s="2218"/>
      <c r="AK70" s="2218"/>
      <c r="AL70" s="2218"/>
    </row>
    <row r="71" spans="1:38" ht="15">
      <c r="AI71" s="2305"/>
      <c r="AJ71" s="2218"/>
      <c r="AK71" s="2218"/>
      <c r="AL71" s="2218"/>
    </row>
    <row r="72" spans="1:38" ht="15">
      <c r="AI72" s="2305"/>
      <c r="AJ72" s="2218"/>
      <c r="AK72" s="2218"/>
      <c r="AL72" s="2218"/>
    </row>
    <row r="73" spans="1:38" ht="15">
      <c r="AI73" s="2305"/>
      <c r="AJ73" s="2218"/>
      <c r="AK73" s="2218"/>
      <c r="AL73" s="2218"/>
    </row>
    <row r="74" spans="1:38" ht="15">
      <c r="AI74" s="2305"/>
      <c r="AJ74" s="2218"/>
      <c r="AK74" s="2218"/>
      <c r="AL74" s="2218"/>
    </row>
    <row r="75" spans="1:38" ht="15">
      <c r="AI75" s="2305"/>
      <c r="AJ75" s="2218"/>
      <c r="AK75" s="2218"/>
      <c r="AL75" s="2218"/>
    </row>
    <row r="76" spans="1:38" ht="15">
      <c r="AI76" s="2305"/>
      <c r="AJ76" s="2218"/>
      <c r="AK76" s="2218"/>
      <c r="AL76" s="2218"/>
    </row>
    <row r="77" spans="1:38" ht="15">
      <c r="AI77" s="2305"/>
      <c r="AJ77" s="2218"/>
      <c r="AK77" s="2218"/>
      <c r="AL77" s="2218"/>
    </row>
    <row r="78" spans="1:38" ht="15">
      <c r="AI78" s="2305"/>
      <c r="AJ78" s="2218"/>
      <c r="AK78" s="2218"/>
      <c r="AL78" s="2218"/>
    </row>
    <row r="79" spans="1:38" ht="15">
      <c r="AI79" s="2305"/>
      <c r="AJ79" s="2218"/>
      <c r="AK79" s="2218"/>
      <c r="AL79" s="2218"/>
    </row>
    <row r="80" spans="1:38" ht="15">
      <c r="AI80" s="2305"/>
      <c r="AJ80" s="2218"/>
      <c r="AK80" s="2218"/>
      <c r="AL80" s="2218"/>
    </row>
    <row r="81" spans="35:38" ht="15">
      <c r="AI81" s="2305"/>
      <c r="AJ81" s="2218"/>
      <c r="AK81" s="2218"/>
      <c r="AL81" s="2218"/>
    </row>
    <row r="82" spans="35:38" ht="15">
      <c r="AI82" s="2305"/>
      <c r="AJ82" s="2218"/>
      <c r="AK82" s="2218"/>
      <c r="AL82" s="2218"/>
    </row>
    <row r="83" spans="35:38" ht="15">
      <c r="AI83" s="2305"/>
      <c r="AJ83" s="2218"/>
      <c r="AK83" s="2218"/>
      <c r="AL83" s="2218"/>
    </row>
    <row r="84" spans="35:38" ht="15">
      <c r="AI84" s="2305"/>
      <c r="AJ84" s="2218"/>
      <c r="AK84" s="2218"/>
      <c r="AL84" s="2218"/>
    </row>
    <row r="85" spans="35:38" ht="15">
      <c r="AI85" s="2305"/>
      <c r="AJ85" s="2218"/>
      <c r="AK85" s="2218"/>
      <c r="AL85" s="2218"/>
    </row>
    <row r="86" spans="35:38" ht="15">
      <c r="AI86" s="2305"/>
      <c r="AJ86" s="2218"/>
      <c r="AK86" s="2218"/>
      <c r="AL86" s="2218"/>
    </row>
    <row r="87" spans="35:38" ht="15">
      <c r="AI87" s="2305"/>
      <c r="AJ87" s="2218"/>
      <c r="AK87" s="2218"/>
      <c r="AL87" s="2218"/>
    </row>
    <row r="88" spans="35:38" ht="15">
      <c r="AI88" s="2305"/>
      <c r="AJ88" s="2218"/>
      <c r="AK88" s="2218"/>
      <c r="AL88" s="2218"/>
    </row>
    <row r="89" spans="35:38" ht="15">
      <c r="AI89" s="2305"/>
      <c r="AJ89" s="2218"/>
      <c r="AK89" s="2218"/>
      <c r="AL89" s="2218"/>
    </row>
    <row r="90" spans="35:38" ht="15">
      <c r="AI90" s="2305"/>
      <c r="AJ90" s="2218"/>
      <c r="AK90" s="2218"/>
      <c r="AL90" s="2218"/>
    </row>
    <row r="91" spans="35:38" ht="15">
      <c r="AI91" s="2305"/>
      <c r="AJ91" s="2218"/>
      <c r="AK91" s="2218"/>
      <c r="AL91" s="2218"/>
    </row>
    <row r="92" spans="35:38" ht="15">
      <c r="AI92" s="2305"/>
      <c r="AJ92" s="2218"/>
      <c r="AK92" s="2218"/>
      <c r="AL92" s="2218"/>
    </row>
    <row r="93" spans="35:38" ht="15">
      <c r="AI93" s="2305"/>
      <c r="AJ93" s="2218"/>
      <c r="AK93" s="2218"/>
      <c r="AL93" s="2218"/>
    </row>
    <row r="94" spans="35:38" ht="15">
      <c r="AI94" s="2305"/>
      <c r="AJ94" s="2218"/>
      <c r="AK94" s="2218"/>
      <c r="AL94" s="2218"/>
    </row>
    <row r="95" spans="35:38" ht="15">
      <c r="AI95" s="2305"/>
      <c r="AJ95" s="2218"/>
      <c r="AK95" s="2218"/>
      <c r="AL95" s="2218"/>
    </row>
    <row r="96" spans="35:38" ht="15">
      <c r="AI96" s="2305"/>
      <c r="AJ96" s="2218"/>
      <c r="AK96" s="2218"/>
      <c r="AL96" s="2218"/>
    </row>
    <row r="97" spans="35:38" ht="15">
      <c r="AI97" s="2305"/>
      <c r="AJ97" s="2218"/>
      <c r="AK97" s="2218"/>
      <c r="AL97" s="2218"/>
    </row>
    <row r="98" spans="35:38" ht="15">
      <c r="AI98" s="2305"/>
      <c r="AJ98" s="2218"/>
      <c r="AK98" s="2218"/>
      <c r="AL98" s="2218"/>
    </row>
    <row r="99" spans="35:38" ht="15">
      <c r="AI99" s="2305"/>
      <c r="AJ99" s="2218"/>
      <c r="AK99" s="2218"/>
      <c r="AL99" s="2218"/>
    </row>
    <row r="100" spans="35:38" ht="15">
      <c r="AI100" s="2305"/>
      <c r="AJ100" s="2218"/>
      <c r="AK100" s="2218"/>
      <c r="AL100" s="2218"/>
    </row>
    <row r="101" spans="35:38" ht="15">
      <c r="AI101" s="2305"/>
      <c r="AJ101" s="2218"/>
      <c r="AK101" s="2218"/>
      <c r="AL101" s="2218"/>
    </row>
    <row r="102" spans="35:38" ht="15">
      <c r="AI102" s="2305"/>
      <c r="AJ102" s="2218"/>
      <c r="AK102" s="2218"/>
      <c r="AL102" s="2218"/>
    </row>
    <row r="103" spans="35:38" ht="15">
      <c r="AI103" s="2305"/>
      <c r="AJ103" s="2218"/>
      <c r="AK103" s="2218"/>
      <c r="AL103" s="2218"/>
    </row>
    <row r="104" spans="35:38" ht="15">
      <c r="AI104" s="2305"/>
      <c r="AJ104" s="2218"/>
      <c r="AK104" s="2218"/>
      <c r="AL104" s="2218"/>
    </row>
    <row r="105" spans="35:38" ht="15">
      <c r="AI105" s="2305"/>
      <c r="AJ105" s="2218"/>
      <c r="AK105" s="2218"/>
      <c r="AL105" s="2218"/>
    </row>
    <row r="106" spans="35:38" ht="15">
      <c r="AI106" s="2305"/>
      <c r="AJ106" s="2218"/>
      <c r="AK106" s="2218"/>
      <c r="AL106" s="2218"/>
    </row>
  </sheetData>
  <mergeCells count="4">
    <mergeCell ref="A4:AI4"/>
    <mergeCell ref="A5:AI5"/>
    <mergeCell ref="A6:AI6"/>
    <mergeCell ref="V10:AI10"/>
  </mergeCells>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3: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unlockedFormula="1"/>
    <ignoredError sqref="B41:B48 B51:B57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55" workbookViewId="0"/>
  </sheetViews>
  <sheetFormatPr defaultColWidth="8.81640625" defaultRowHeight="10.199999999999999"/>
  <cols>
    <col min="1" max="1" width="38.453125" style="2211" customWidth="1"/>
    <col min="2" max="2" width="6.81640625" style="2211" customWidth="1"/>
    <col min="3" max="3" width="4.08984375" style="2211" customWidth="1"/>
    <col min="4" max="4" width="14" style="2211" customWidth="1"/>
    <col min="5" max="5" width="1.08984375" style="2211" customWidth="1"/>
    <col min="6" max="6" width="13.453125" style="2211" customWidth="1"/>
    <col min="7" max="7" width="1.08984375" style="2211" customWidth="1"/>
    <col min="8" max="8" width="13.453125" style="2212" customWidth="1"/>
    <col min="9" max="9" width="1.81640625" style="2211" customWidth="1"/>
    <col min="10" max="10" width="13.453125" style="2211" customWidth="1"/>
    <col min="11" max="11" width="1.08984375" style="2211" customWidth="1"/>
    <col min="12" max="12" width="11.81640625" style="2211" customWidth="1"/>
    <col min="13" max="13" width="1.08984375" style="2211" customWidth="1"/>
    <col min="14" max="14" width="13.54296875" style="2211" customWidth="1"/>
    <col min="15" max="15" width="1.08984375" style="2211" customWidth="1"/>
    <col min="16" max="16" width="0.81640625" style="2211" customWidth="1"/>
    <col min="17" max="17" width="1.08984375" style="2211" customWidth="1"/>
    <col min="18" max="18" width="14.453125" style="2211" customWidth="1"/>
    <col min="19" max="19" width="1.08984375" style="2211" customWidth="1"/>
    <col min="20" max="20" width="14.453125" style="2213" customWidth="1"/>
    <col min="21" max="21" width="1.08984375" style="2213" customWidth="1"/>
    <col min="22" max="22" width="0.81640625" style="2213" customWidth="1"/>
    <col min="23" max="24" width="1.08984375" style="2213" customWidth="1"/>
    <col min="25" max="25" width="12.81640625" style="2213" customWidth="1"/>
    <col min="26" max="26" width="1.08984375" style="2213" customWidth="1"/>
    <col min="27" max="27" width="16.81640625" style="2213" bestFit="1" customWidth="1"/>
    <col min="28" max="28" width="1.81640625" style="2213" customWidth="1"/>
    <col min="29" max="29" width="1.08984375" style="2312" customWidth="1"/>
    <col min="30" max="30" width="13.08984375" style="2213" customWidth="1"/>
    <col min="31" max="31" width="3" style="2213" customWidth="1"/>
    <col min="32" max="32" width="12" style="2213" customWidth="1"/>
    <col min="33" max="16384" width="8.81640625" style="2213"/>
  </cols>
  <sheetData>
    <row r="1" spans="1:33" ht="15">
      <c r="A1" s="2210" t="s">
        <v>881</v>
      </c>
    </row>
    <row r="2" spans="1:33" ht="15" customHeight="1">
      <c r="A2" s="2210"/>
    </row>
    <row r="3" spans="1:33" ht="21" customHeight="1">
      <c r="A3" s="3957" t="s">
        <v>0</v>
      </c>
      <c r="B3" s="3958"/>
      <c r="C3" s="3958"/>
      <c r="D3" s="3958"/>
      <c r="E3" s="3958"/>
      <c r="F3" s="3958"/>
      <c r="G3" s="3958"/>
      <c r="H3" s="3958"/>
      <c r="I3" s="3958"/>
      <c r="J3" s="3958"/>
      <c r="K3" s="3958"/>
      <c r="L3" s="3958"/>
      <c r="M3" s="3958"/>
      <c r="N3" s="3958"/>
      <c r="O3" s="3958"/>
      <c r="P3" s="3958"/>
      <c r="Q3" s="3958"/>
      <c r="R3" s="3958"/>
      <c r="S3" s="3958"/>
      <c r="T3" s="3958"/>
      <c r="U3" s="3958"/>
      <c r="V3" s="3958"/>
      <c r="W3" s="3958"/>
      <c r="X3" s="3958"/>
      <c r="Y3" s="3958"/>
      <c r="Z3" s="3958"/>
      <c r="AA3" s="3958"/>
      <c r="AB3" s="3958"/>
      <c r="AC3" s="2313"/>
      <c r="AF3" s="2217" t="s">
        <v>53</v>
      </c>
    </row>
    <row r="4" spans="1:33" ht="21">
      <c r="A4" s="3959" t="s">
        <v>1073</v>
      </c>
      <c r="B4" s="3958"/>
      <c r="C4" s="3958"/>
      <c r="D4" s="3958"/>
      <c r="E4" s="3958"/>
      <c r="F4" s="3958"/>
      <c r="G4" s="3958"/>
      <c r="H4" s="3958"/>
      <c r="I4" s="3958"/>
      <c r="J4" s="3958"/>
      <c r="K4" s="3958"/>
      <c r="L4" s="3958"/>
      <c r="M4" s="3958"/>
      <c r="N4" s="3958"/>
      <c r="O4" s="3958"/>
      <c r="P4" s="3958"/>
      <c r="Q4" s="3958"/>
      <c r="R4" s="3958"/>
      <c r="S4" s="3958"/>
      <c r="T4" s="3958"/>
      <c r="U4" s="3958"/>
      <c r="V4" s="3958"/>
      <c r="W4" s="3958"/>
      <c r="X4" s="3958"/>
      <c r="Y4" s="3958"/>
      <c r="Z4" s="3958"/>
      <c r="AA4" s="3958"/>
      <c r="AB4" s="3958"/>
      <c r="AC4" s="2313"/>
      <c r="AF4" s="2217" t="s">
        <v>54</v>
      </c>
    </row>
    <row r="5" spans="1:33" ht="21" customHeight="1">
      <c r="A5" s="3959" t="s">
        <v>792</v>
      </c>
      <c r="B5" s="3958"/>
      <c r="C5" s="3958"/>
      <c r="D5" s="3958"/>
      <c r="E5" s="3958"/>
      <c r="F5" s="3958"/>
      <c r="G5" s="3958"/>
      <c r="H5" s="3958"/>
      <c r="I5" s="3958"/>
      <c r="J5" s="3958"/>
      <c r="K5" s="3958"/>
      <c r="L5" s="3958"/>
      <c r="M5" s="3958"/>
      <c r="N5" s="3958"/>
      <c r="O5" s="3958"/>
      <c r="P5" s="3958"/>
      <c r="Q5" s="3958"/>
      <c r="R5" s="3958"/>
      <c r="S5" s="3958"/>
      <c r="T5" s="3958"/>
      <c r="U5" s="3958"/>
      <c r="V5" s="3958"/>
      <c r="W5" s="3958"/>
      <c r="X5" s="3958"/>
      <c r="Y5" s="3958"/>
      <c r="Z5" s="3958"/>
      <c r="AA5" s="3958"/>
      <c r="AB5" s="3958"/>
      <c r="AC5" s="2313"/>
    </row>
    <row r="6" spans="1:33" ht="21" customHeight="1">
      <c r="A6" s="2314" t="s">
        <v>1263</v>
      </c>
      <c r="B6" s="2315"/>
      <c r="C6" s="2315"/>
      <c r="D6" s="2315"/>
      <c r="E6" s="2315"/>
      <c r="F6" s="2315"/>
      <c r="G6" s="2315"/>
      <c r="H6" s="2315"/>
      <c r="I6" s="2315"/>
      <c r="J6" s="2315"/>
      <c r="K6" s="2315"/>
      <c r="L6" s="2315"/>
      <c r="M6" s="2315"/>
      <c r="N6" s="2315"/>
      <c r="O6" s="2315"/>
      <c r="P6" s="2315"/>
      <c r="Q6" s="2315"/>
      <c r="R6" s="2315"/>
      <c r="S6" s="2315"/>
      <c r="T6" s="3888"/>
      <c r="U6" s="2315"/>
      <c r="V6" s="2315"/>
      <c r="W6" s="2315"/>
      <c r="X6" s="2315"/>
      <c r="Y6" s="3809"/>
      <c r="Z6" s="3809"/>
      <c r="AA6" s="3809"/>
      <c r="AB6" s="2315"/>
      <c r="AC6" s="2313"/>
    </row>
    <row r="7" spans="1:33" ht="15.75" customHeight="1">
      <c r="A7" s="3959"/>
      <c r="B7" s="3958"/>
      <c r="C7" s="3958"/>
      <c r="D7" s="3958"/>
      <c r="E7" s="3958"/>
      <c r="F7" s="3958"/>
      <c r="G7" s="3958"/>
      <c r="H7" s="3958"/>
      <c r="I7" s="3958"/>
      <c r="J7" s="3958"/>
      <c r="K7" s="3958"/>
      <c r="L7" s="3958"/>
      <c r="M7" s="3958"/>
      <c r="N7" s="3958"/>
      <c r="O7" s="3958"/>
      <c r="P7" s="3958"/>
      <c r="Q7" s="3958"/>
      <c r="R7" s="3958"/>
      <c r="S7" s="3958"/>
      <c r="T7" s="3958"/>
      <c r="U7" s="3958"/>
      <c r="V7" s="3958"/>
      <c r="W7" s="3958"/>
      <c r="X7" s="3958"/>
      <c r="Y7" s="3958"/>
      <c r="Z7" s="3958"/>
      <c r="AA7" s="3958"/>
      <c r="AB7" s="3958"/>
      <c r="AC7" s="2313"/>
    </row>
    <row r="8" spans="1:33" ht="15.75" customHeight="1">
      <c r="A8" s="1"/>
      <c r="B8" s="1"/>
      <c r="C8" s="1"/>
      <c r="D8" s="1"/>
      <c r="E8" s="1"/>
      <c r="F8" s="1"/>
      <c r="G8" s="1"/>
      <c r="H8" s="2220"/>
      <c r="I8" s="2"/>
      <c r="J8" s="2"/>
      <c r="K8" s="2"/>
      <c r="L8" s="2"/>
      <c r="M8" s="1"/>
      <c r="N8" s="2"/>
      <c r="O8" s="2"/>
      <c r="P8" s="2"/>
      <c r="Q8" s="2"/>
      <c r="R8" s="2"/>
      <c r="S8" s="2"/>
      <c r="T8" s="2316"/>
      <c r="U8" s="2316"/>
      <c r="V8" s="2316"/>
      <c r="W8" s="2316"/>
      <c r="X8" s="2316"/>
      <c r="Y8" s="2317"/>
      <c r="Z8" s="2317"/>
      <c r="AA8" s="2217"/>
      <c r="AB8" s="2317"/>
      <c r="AC8" s="2318"/>
    </row>
    <row r="9" spans="1:33" ht="15.75" customHeight="1">
      <c r="A9" s="1"/>
      <c r="B9" s="1"/>
      <c r="C9" s="1"/>
      <c r="D9" s="1"/>
      <c r="E9" s="1"/>
      <c r="F9" s="1"/>
      <c r="G9" s="1"/>
      <c r="H9" s="2220"/>
      <c r="I9" s="2"/>
      <c r="J9" s="2"/>
      <c r="K9" s="2"/>
      <c r="L9" s="2"/>
      <c r="M9" s="1"/>
      <c r="N9" s="2"/>
      <c r="O9" s="2319"/>
      <c r="P9" s="2319"/>
      <c r="Q9" s="2319"/>
      <c r="R9" s="2319"/>
      <c r="S9" s="2276"/>
      <c r="T9" s="2312"/>
      <c r="U9" s="2312"/>
      <c r="V9" s="2312"/>
      <c r="W9" s="2312"/>
      <c r="X9" s="2320"/>
      <c r="Y9" s="2317"/>
      <c r="Z9" s="2317"/>
      <c r="AA9" s="2217"/>
      <c r="AB9" s="2317"/>
      <c r="AC9" s="2318"/>
    </row>
    <row r="10" spans="1:33" ht="16.350000000000001" customHeight="1">
      <c r="A10" s="1"/>
      <c r="B10" s="1"/>
      <c r="C10" s="2225"/>
      <c r="D10" s="3954"/>
      <c r="E10" s="3955"/>
      <c r="F10" s="3955"/>
      <c r="G10" s="3955"/>
      <c r="H10" s="3955"/>
      <c r="I10" s="3955"/>
      <c r="J10" s="3955"/>
      <c r="K10" s="3955"/>
      <c r="L10" s="3955"/>
      <c r="M10" s="3955"/>
      <c r="N10" s="3955"/>
      <c r="O10" s="2320"/>
      <c r="P10" s="2321"/>
      <c r="Q10" s="2320"/>
      <c r="R10" s="3953"/>
      <c r="S10" s="3953"/>
      <c r="T10" s="3953"/>
      <c r="U10" s="3953"/>
      <c r="V10" s="3953"/>
      <c r="W10" s="3953"/>
      <c r="X10" s="3953"/>
      <c r="Y10" s="3953"/>
      <c r="Z10" s="3953"/>
      <c r="AA10" s="3953"/>
      <c r="AB10" s="3953"/>
      <c r="AC10" s="2322"/>
      <c r="AD10" s="2312"/>
      <c r="AE10" s="2312"/>
      <c r="AF10" s="2312"/>
      <c r="AG10" s="2312"/>
    </row>
    <row r="11" spans="1:33" ht="16.350000000000001" customHeight="1">
      <c r="A11" s="2236"/>
      <c r="B11" s="606"/>
      <c r="C11" s="606"/>
      <c r="D11" s="3" t="s">
        <v>2</v>
      </c>
      <c r="E11" s="3"/>
      <c r="F11" s="3"/>
      <c r="G11" s="2230"/>
      <c r="H11" s="2323" t="s">
        <v>1055</v>
      </c>
      <c r="I11" s="3"/>
      <c r="J11" s="3"/>
      <c r="K11" s="2276"/>
      <c r="L11" s="3956" t="s">
        <v>4</v>
      </c>
      <c r="M11" s="3956"/>
      <c r="N11" s="3956"/>
      <c r="O11" s="5"/>
      <c r="P11" s="2232"/>
      <c r="Q11" s="2232"/>
      <c r="R11" s="2324" t="s">
        <v>1367</v>
      </c>
      <c r="S11" s="2324"/>
      <c r="T11" s="2324"/>
      <c r="U11" s="2324"/>
      <c r="V11" s="2324"/>
      <c r="W11" s="2324"/>
      <c r="X11" s="2324"/>
      <c r="Y11" s="2324"/>
      <c r="Z11" s="2324"/>
      <c r="AA11" s="2324"/>
      <c r="AB11" s="2324"/>
      <c r="AC11" s="2325"/>
      <c r="AD11" s="2326"/>
      <c r="AE11" s="2326"/>
      <c r="AF11" s="2326"/>
    </row>
    <row r="12" spans="1:33" ht="15.75" customHeight="1">
      <c r="A12" s="2229"/>
      <c r="B12" s="2229"/>
      <c r="C12" s="7"/>
      <c r="D12" s="5" t="s">
        <v>6</v>
      </c>
      <c r="E12" s="5"/>
      <c r="F12" s="4" t="str">
        <f>'Exhibit A'!F11</f>
        <v>10 MOS. ENDED</v>
      </c>
      <c r="G12" s="2224"/>
      <c r="H12" s="5" t="s">
        <v>6</v>
      </c>
      <c r="I12" s="5"/>
      <c r="J12" s="5" t="str">
        <f>F12</f>
        <v>10 MOS. ENDED</v>
      </c>
      <c r="K12" s="2224"/>
      <c r="L12" s="5" t="s">
        <v>6</v>
      </c>
      <c r="M12" s="5"/>
      <c r="N12" s="5" t="str">
        <f>F12</f>
        <v>10 MOS. ENDED</v>
      </c>
      <c r="O12" s="5"/>
      <c r="P12" s="2327"/>
      <c r="Q12" s="5"/>
      <c r="R12" s="5" t="s">
        <v>6</v>
      </c>
      <c r="S12" s="5"/>
      <c r="T12" s="3887" t="str">
        <f>F12</f>
        <v>10 MOS. ENDED</v>
      </c>
      <c r="U12" s="2232"/>
      <c r="V12" s="2232"/>
      <c r="W12" s="2232"/>
      <c r="X12" s="2232"/>
      <c r="Y12" s="3808" t="s">
        <v>6</v>
      </c>
      <c r="Z12" s="3808"/>
      <c r="AA12" s="3808" t="str">
        <f>'Exhibit A'!AD11</f>
        <v>10 MOS. ENDED</v>
      </c>
      <c r="AB12" s="2232"/>
      <c r="AC12" s="2328"/>
      <c r="AD12" s="2232" t="s">
        <v>7</v>
      </c>
      <c r="AE12" s="2233"/>
      <c r="AF12" s="5" t="s">
        <v>8</v>
      </c>
    </row>
    <row r="13" spans="1:33" ht="16.350000000000001" customHeight="1">
      <c r="A13" s="2229"/>
      <c r="B13" s="2229"/>
      <c r="C13" s="2229"/>
      <c r="D13" s="892" t="str">
        <f>'Exhibit A'!D12</f>
        <v>JAN. 2022</v>
      </c>
      <c r="E13" s="2224"/>
      <c r="F13" s="892" t="str">
        <f>'Exhibit A'!F12</f>
        <v>JAN. 31, 2022</v>
      </c>
      <c r="G13" s="2224"/>
      <c r="H13" s="6" t="str">
        <f>D13</f>
        <v>JAN. 2022</v>
      </c>
      <c r="I13" s="2224"/>
      <c r="J13" s="6" t="str">
        <f>F13</f>
        <v>JAN. 31, 2022</v>
      </c>
      <c r="K13" s="2224"/>
      <c r="L13" s="6" t="str">
        <f>D13</f>
        <v>JAN. 2022</v>
      </c>
      <c r="M13" s="2224"/>
      <c r="N13" s="6" t="str">
        <f>F13</f>
        <v>JAN. 31, 2022</v>
      </c>
      <c r="O13" s="5"/>
      <c r="P13" s="2327"/>
      <c r="Q13" s="5"/>
      <c r="R13" s="6" t="str">
        <f>D13</f>
        <v>JAN. 2022</v>
      </c>
      <c r="S13" s="2224"/>
      <c r="T13" s="2330" t="str">
        <f>F13</f>
        <v>JAN. 31, 2022</v>
      </c>
      <c r="U13" s="2232"/>
      <c r="V13" s="2232"/>
      <c r="W13" s="2232"/>
      <c r="X13" s="2329"/>
      <c r="Y13" s="3364" t="str">
        <f>'Exhibit A'!AB12</f>
        <v>JAN. 2021</v>
      </c>
      <c r="Z13" s="2329"/>
      <c r="AA13" s="3364" t="str">
        <f>'Exhibit A'!AD12</f>
        <v>JAN. 31, 2021</v>
      </c>
      <c r="AB13" s="2329"/>
      <c r="AC13" s="2328"/>
      <c r="AD13" s="2330" t="s">
        <v>11</v>
      </c>
      <c r="AE13" s="2210"/>
      <c r="AF13" s="892" t="s">
        <v>12</v>
      </c>
    </row>
    <row r="14" spans="1:33" ht="16.350000000000001" customHeight="1">
      <c r="A14" s="2228" t="s">
        <v>13</v>
      </c>
      <c r="B14" s="2229"/>
      <c r="C14" s="2229"/>
      <c r="D14" s="2331" t="s">
        <v>14</v>
      </c>
      <c r="E14" s="2229"/>
      <c r="F14" s="7"/>
      <c r="G14" s="2229"/>
      <c r="H14" s="606" t="s">
        <v>14</v>
      </c>
      <c r="I14" s="2229"/>
      <c r="J14" s="7"/>
      <c r="K14" s="2229"/>
      <c r="L14" s="606" t="s">
        <v>14</v>
      </c>
      <c r="M14" s="2229"/>
      <c r="N14" s="7"/>
      <c r="O14" s="7"/>
      <c r="P14" s="2332"/>
      <c r="Q14" s="2333"/>
      <c r="R14" s="7"/>
      <c r="S14" s="7"/>
      <c r="T14" s="2239"/>
      <c r="U14" s="2239"/>
      <c r="V14" s="2239"/>
      <c r="W14" s="2334"/>
      <c r="X14" s="2239"/>
      <c r="Y14" s="2239"/>
      <c r="Z14" s="2274"/>
      <c r="AA14" s="2239"/>
      <c r="AB14" s="2239"/>
      <c r="AC14" s="2335"/>
      <c r="AD14" s="2239"/>
      <c r="AE14" s="2211"/>
      <c r="AF14" s="1413"/>
    </row>
    <row r="15" spans="1:33" ht="18" customHeight="1">
      <c r="A15" s="2229" t="s">
        <v>15</v>
      </c>
      <c r="B15" s="2262" t="s">
        <v>1527</v>
      </c>
      <c r="C15" s="2229"/>
      <c r="D15" s="1350">
        <f>+'Exhibit A'!D14</f>
        <v>3366.5</v>
      </c>
      <c r="E15" s="647" t="s">
        <v>14</v>
      </c>
      <c r="F15" s="647">
        <f>+'Exhibit A'!F14</f>
        <v>27869.9</v>
      </c>
      <c r="G15" s="647"/>
      <c r="H15" s="3919">
        <f>+'Exhibit G State'!V17</f>
        <v>1850</v>
      </c>
      <c r="I15" s="2337"/>
      <c r="J15" s="3920">
        <f>'Exhibit G State'!AD17</f>
        <v>1866.1</v>
      </c>
      <c r="K15" s="2337"/>
      <c r="L15" s="3921">
        <f>+'Exhibit A'!L14</f>
        <v>5216.4999999999982</v>
      </c>
      <c r="M15" s="2337"/>
      <c r="N15" s="2337">
        <f>+'Exhibit A'!N14</f>
        <v>29736</v>
      </c>
      <c r="O15" s="3922"/>
      <c r="P15" s="2336"/>
      <c r="Q15" s="3923"/>
      <c r="R15" s="2337">
        <f t="shared" ref="R15:R20" si="0">ROUND(SUM(D15+H15+L15),1)</f>
        <v>10433</v>
      </c>
      <c r="S15" s="2337"/>
      <c r="T15" s="3917">
        <f t="shared" ref="T15:T20" si="1">ROUND(SUM(F15+J15+N15),1)</f>
        <v>59472</v>
      </c>
      <c r="U15" s="2337"/>
      <c r="V15" s="2337"/>
      <c r="W15" s="2338"/>
      <c r="X15" s="2337"/>
      <c r="Y15" s="2337">
        <v>9453</v>
      </c>
      <c r="Z15" s="2337" t="s">
        <v>14</v>
      </c>
      <c r="AA15" s="2337">
        <f>'Exhibit F'!AF26+'Exhibit G State'!AG17+'Exhibit H'!AD16</f>
        <v>46251.199999999997</v>
      </c>
      <c r="AB15" s="2339"/>
      <c r="AC15" s="2340"/>
      <c r="AD15" s="2337">
        <f t="shared" ref="AD15:AD20" si="2">ROUND(SUM(T15-AA15),1)</f>
        <v>13220.8</v>
      </c>
      <c r="AE15" s="2249"/>
      <c r="AF15" s="1410">
        <f>ROUND(+AD15/AA15,3)</f>
        <v>0.28599999999999998</v>
      </c>
    </row>
    <row r="16" spans="1:33" ht="18" customHeight="1">
      <c r="A16" s="2229" t="s">
        <v>16</v>
      </c>
      <c r="B16" s="2251" t="s">
        <v>14</v>
      </c>
      <c r="C16" s="2229"/>
      <c r="D16" s="608">
        <f>+'Exhibit A'!D15</f>
        <v>408.8</v>
      </c>
      <c r="E16" s="9"/>
      <c r="F16" s="9">
        <f>+'Exhibit A'!F15</f>
        <v>3963.9</v>
      </c>
      <c r="G16" s="9"/>
      <c r="H16" s="2557">
        <f>+'Exhibit G State'!V28</f>
        <v>151.1</v>
      </c>
      <c r="I16" s="19"/>
      <c r="J16" s="3924">
        <f>'Exhibit G State'!AD28</f>
        <v>1680.2</v>
      </c>
      <c r="K16" s="19"/>
      <c r="L16" s="612">
        <f>+'Exhibit A'!L15</f>
        <v>1039.9000000000001</v>
      </c>
      <c r="M16" s="19"/>
      <c r="N16" s="19">
        <f>+'Exhibit A'!N15</f>
        <v>10304.200000000001</v>
      </c>
      <c r="O16" s="1409"/>
      <c r="P16" s="2341"/>
      <c r="Q16" s="2355"/>
      <c r="R16" s="19">
        <f t="shared" si="0"/>
        <v>1599.8</v>
      </c>
      <c r="S16" s="19"/>
      <c r="T16" s="3327">
        <f t="shared" si="1"/>
        <v>15948.3</v>
      </c>
      <c r="U16" s="19"/>
      <c r="V16" s="19"/>
      <c r="W16" s="2280"/>
      <c r="X16" s="19"/>
      <c r="Y16" s="19">
        <v>1414.3</v>
      </c>
      <c r="Z16" s="19" t="s">
        <v>14</v>
      </c>
      <c r="AA16" s="19">
        <f>'Exhibit F'!AF36+'Exhibit G State'!AG28+'Exhibit H'!AD20</f>
        <v>13054.7</v>
      </c>
      <c r="AB16" s="2239"/>
      <c r="AC16" s="2335"/>
      <c r="AD16" s="19">
        <f t="shared" si="2"/>
        <v>2893.6</v>
      </c>
      <c r="AE16" s="2211"/>
      <c r="AF16" s="1410">
        <f t="shared" ref="AF16:AF21" si="3">ROUND(+AD16/AA16,3)</f>
        <v>0.222</v>
      </c>
    </row>
    <row r="17" spans="1:32" ht="18" customHeight="1">
      <c r="A17" s="2229" t="s">
        <v>17</v>
      </c>
      <c r="B17" s="2255"/>
      <c r="C17" s="2229"/>
      <c r="D17" s="608">
        <f>+'Exhibit A'!D16</f>
        <v>653.29999999999995</v>
      </c>
      <c r="E17" s="9"/>
      <c r="F17" s="9">
        <f>+'Exhibit A'!F16</f>
        <v>11721.5</v>
      </c>
      <c r="G17" s="9"/>
      <c r="H17" s="2557">
        <f>+'Exhibit G State'!V35</f>
        <v>76.099999999999994</v>
      </c>
      <c r="I17" s="19"/>
      <c r="J17" s="3924">
        <f>'Exhibit G State'!AD35</f>
        <v>1755</v>
      </c>
      <c r="K17" s="19"/>
      <c r="L17" s="612">
        <f>+'Exhibit A'!L16</f>
        <v>448.6</v>
      </c>
      <c r="M17" s="19"/>
      <c r="N17" s="19">
        <f>+'Exhibit A'!N16</f>
        <v>5530.3</v>
      </c>
      <c r="O17" s="2344"/>
      <c r="P17" s="2342"/>
      <c r="Q17" s="3925"/>
      <c r="R17" s="19">
        <f t="shared" si="0"/>
        <v>1178</v>
      </c>
      <c r="S17" s="19"/>
      <c r="T17" s="3327">
        <f t="shared" si="1"/>
        <v>19006.8</v>
      </c>
      <c r="U17" s="19"/>
      <c r="V17" s="19"/>
      <c r="W17" s="2343"/>
      <c r="X17" s="18"/>
      <c r="Y17" s="19">
        <v>74.5</v>
      </c>
      <c r="Z17" s="19" t="s">
        <v>14</v>
      </c>
      <c r="AA17" s="19">
        <f>'Exhibit F'!AF44+'Exhibit G State'!AG35</f>
        <v>5795.5</v>
      </c>
      <c r="AB17" s="2239"/>
      <c r="AC17" s="2335"/>
      <c r="AD17" s="19">
        <f t="shared" si="2"/>
        <v>13211.3</v>
      </c>
      <c r="AE17" s="2211"/>
      <c r="AF17" s="1410">
        <f t="shared" si="3"/>
        <v>2.2799999999999998</v>
      </c>
    </row>
    <row r="18" spans="1:32" ht="18" customHeight="1">
      <c r="A18" s="2229" t="s">
        <v>18</v>
      </c>
      <c r="B18" s="2251" t="s">
        <v>14</v>
      </c>
      <c r="C18" s="2229"/>
      <c r="D18" s="608">
        <f>+'Exhibit A'!D17</f>
        <v>127.1</v>
      </c>
      <c r="E18" s="9"/>
      <c r="F18" s="9">
        <f>+'Exhibit A'!F17</f>
        <v>1188.2</v>
      </c>
      <c r="G18" s="9"/>
      <c r="H18" s="2557">
        <v>0</v>
      </c>
      <c r="I18" s="19"/>
      <c r="J18" s="3924">
        <v>0</v>
      </c>
      <c r="K18" s="19"/>
      <c r="L18" s="612">
        <f>+'Exhibit A'!L17</f>
        <v>169.7</v>
      </c>
      <c r="M18" s="19"/>
      <c r="N18" s="19">
        <f>+'Exhibit A'!N17</f>
        <v>1287.3999999999999</v>
      </c>
      <c r="O18" s="1409"/>
      <c r="P18" s="2341"/>
      <c r="Q18" s="2355"/>
      <c r="R18" s="19">
        <f t="shared" si="0"/>
        <v>296.8</v>
      </c>
      <c r="S18" s="19"/>
      <c r="T18" s="3327">
        <f t="shared" si="1"/>
        <v>2475.6</v>
      </c>
      <c r="U18" s="19"/>
      <c r="V18" s="19"/>
      <c r="W18" s="2280"/>
      <c r="X18" s="19"/>
      <c r="Y18" s="19">
        <v>405.7</v>
      </c>
      <c r="Z18" s="19" t="s">
        <v>14</v>
      </c>
      <c r="AA18" s="19">
        <f>'Exhibit F'!AF52+'Exhibit H'!AD27</f>
        <v>1935.6</v>
      </c>
      <c r="AB18" s="2239"/>
      <c r="AC18" s="2335"/>
      <c r="AD18" s="19">
        <f t="shared" si="2"/>
        <v>540</v>
      </c>
      <c r="AE18" s="2211"/>
      <c r="AF18" s="1410">
        <f t="shared" si="3"/>
        <v>0.27900000000000003</v>
      </c>
    </row>
    <row r="19" spans="1:32" ht="18" customHeight="1">
      <c r="A19" s="2229" t="s">
        <v>19</v>
      </c>
      <c r="B19" s="2251" t="s">
        <v>14</v>
      </c>
      <c r="C19" s="2229"/>
      <c r="D19" s="608">
        <f>+'Exhibit A'!D18</f>
        <v>171.7</v>
      </c>
      <c r="E19" s="608"/>
      <c r="F19" s="9">
        <f>+'Exhibit A'!F18</f>
        <v>1805.8</v>
      </c>
      <c r="G19" s="9"/>
      <c r="H19" s="2557">
        <f>+'Exhibit G State'!V81</f>
        <v>1630.2</v>
      </c>
      <c r="I19" s="19"/>
      <c r="J19" s="3924">
        <f>'Exhibit G State'!AD81</f>
        <v>15472.9</v>
      </c>
      <c r="K19" s="19"/>
      <c r="L19" s="612">
        <f>+'Exhibit A'!L18</f>
        <v>48.6</v>
      </c>
      <c r="M19" s="19"/>
      <c r="N19" s="19">
        <f>+'Exhibit A'!N18</f>
        <v>366.8</v>
      </c>
      <c r="O19" s="1409"/>
      <c r="P19" s="2341"/>
      <c r="Q19" s="2355"/>
      <c r="R19" s="19">
        <f t="shared" si="0"/>
        <v>1850.5</v>
      </c>
      <c r="S19" s="19"/>
      <c r="T19" s="3327">
        <f t="shared" si="1"/>
        <v>17645.5</v>
      </c>
      <c r="U19" s="19"/>
      <c r="V19" s="19"/>
      <c r="W19" s="2280"/>
      <c r="X19" s="19"/>
      <c r="Y19" s="19">
        <v>1664.1999999999998</v>
      </c>
      <c r="Z19" s="19" t="s">
        <v>14</v>
      </c>
      <c r="AA19" s="19">
        <f>+'Exhibit F'!AF93+'Exhibit G State'!AG81+'Exhibit H'!AD50</f>
        <v>20735.299999999996</v>
      </c>
      <c r="AB19" s="2239"/>
      <c r="AC19" s="2335"/>
      <c r="AD19" s="19">
        <f t="shared" si="2"/>
        <v>-3089.8</v>
      </c>
      <c r="AE19" s="2211"/>
      <c r="AF19" s="1410">
        <f t="shared" si="3"/>
        <v>-0.14899999999999999</v>
      </c>
    </row>
    <row r="20" spans="1:32" ht="18" customHeight="1">
      <c r="A20" s="2229" t="s">
        <v>20</v>
      </c>
      <c r="B20" s="2268"/>
      <c r="C20" s="2229"/>
      <c r="D20" s="608">
        <f>+'Exhibit A'!D19</f>
        <v>0</v>
      </c>
      <c r="E20" s="9"/>
      <c r="F20" s="9">
        <f>+'Exhibit A'!F19</f>
        <v>0</v>
      </c>
      <c r="G20" s="9"/>
      <c r="H20" s="2557">
        <f>+'Exhibit G State'!V83</f>
        <v>-14.399999999999999</v>
      </c>
      <c r="I20" s="19"/>
      <c r="J20" s="3924">
        <f>'Exhibit G State'!AD83</f>
        <v>29.1</v>
      </c>
      <c r="K20" s="19"/>
      <c r="L20" s="612">
        <f>+'Exhibit A'!L19</f>
        <v>1.5000000000000036</v>
      </c>
      <c r="M20" s="18"/>
      <c r="N20" s="19">
        <f>+'Exhibit A'!N19</f>
        <v>33.200000000000003</v>
      </c>
      <c r="O20" s="2344"/>
      <c r="P20" s="2342"/>
      <c r="Q20" s="3925"/>
      <c r="R20" s="18">
        <f t="shared" si="0"/>
        <v>-12.9</v>
      </c>
      <c r="S20" s="2344"/>
      <c r="T20" s="3327">
        <f t="shared" si="1"/>
        <v>62.3</v>
      </c>
      <c r="U20" s="19"/>
      <c r="V20" s="19"/>
      <c r="W20" s="2343"/>
      <c r="X20" s="2344"/>
      <c r="Y20" s="19">
        <v>0</v>
      </c>
      <c r="Z20" s="19" t="s">
        <v>14</v>
      </c>
      <c r="AA20" s="19">
        <f>+'Exhibit F'!AF95+'Exhibit G State'!AG83+'Exhibit H'!AD52</f>
        <v>44.3</v>
      </c>
      <c r="AB20" s="2239"/>
      <c r="AC20" s="2335"/>
      <c r="AD20" s="19">
        <f t="shared" si="2"/>
        <v>18</v>
      </c>
      <c r="AE20" s="2211"/>
      <c r="AF20" s="1449">
        <f>ROUND(IF(AA20=0,1,AD20/ABS(AA20)),3)</f>
        <v>0.40600000000000003</v>
      </c>
    </row>
    <row r="21" spans="1:32" ht="18" customHeight="1">
      <c r="A21" s="2228" t="s">
        <v>21</v>
      </c>
      <c r="B21" s="2229"/>
      <c r="C21" s="2229"/>
      <c r="D21" s="12">
        <f>ROUND(SUM(D15:D20),1)</f>
        <v>4727.3999999999996</v>
      </c>
      <c r="E21" s="1351"/>
      <c r="F21" s="11">
        <f>ROUND(SUM(F15:F20),1)</f>
        <v>46549.3</v>
      </c>
      <c r="G21" s="1351"/>
      <c r="H21" s="1539">
        <f>ROUND(SUM(H15:H20),1)</f>
        <v>3693</v>
      </c>
      <c r="I21" s="20"/>
      <c r="J21" s="1539">
        <f>ROUND(SUM(J15:J20),1)</f>
        <v>20803.3</v>
      </c>
      <c r="K21" s="20"/>
      <c r="L21" s="1539">
        <f>ROUND(SUM(L15:L20),1)</f>
        <v>6924.8</v>
      </c>
      <c r="M21" s="20"/>
      <c r="N21" s="1539">
        <f>ROUND(SUM(N15:N20),1)</f>
        <v>47257.9</v>
      </c>
      <c r="O21" s="1462"/>
      <c r="P21" s="2345"/>
      <c r="Q21" s="3705"/>
      <c r="R21" s="1539">
        <f>ROUND(SUM(R15:R20),1)</f>
        <v>15345.2</v>
      </c>
      <c r="S21" s="1462"/>
      <c r="T21" s="1539">
        <f>ROUND(SUM(T15:T20),1)</f>
        <v>114610.5</v>
      </c>
      <c r="U21" s="1462"/>
      <c r="V21" s="1462"/>
      <c r="W21" s="2284"/>
      <c r="X21" s="1462"/>
      <c r="Y21" s="1539">
        <f>ROUND(SUM(Y15:Y20),1)</f>
        <v>13011.7</v>
      </c>
      <c r="Z21" s="20"/>
      <c r="AA21" s="1539">
        <f>ROUND(SUM(AA15:AA20),1)</f>
        <v>87816.6</v>
      </c>
      <c r="AB21" s="2285"/>
      <c r="AC21" s="2346"/>
      <c r="AD21" s="1539">
        <f>ROUND(SUM(AD15:AD20),1)</f>
        <v>26793.9</v>
      </c>
      <c r="AE21" s="2260"/>
      <c r="AF21" s="1426">
        <f t="shared" si="3"/>
        <v>0.30499999999999999</v>
      </c>
    </row>
    <row r="22" spans="1:32" ht="16.350000000000001" customHeight="1">
      <c r="A22" s="2228"/>
      <c r="B22" s="2229"/>
      <c r="C22" s="2229"/>
      <c r="D22" s="609"/>
      <c r="E22" s="9"/>
      <c r="F22" s="14"/>
      <c r="G22" s="9"/>
      <c r="H22" s="1406"/>
      <c r="I22" s="19"/>
      <c r="J22" s="1409"/>
      <c r="K22" s="19"/>
      <c r="L22" s="1406"/>
      <c r="M22" s="19"/>
      <c r="N22" s="1409"/>
      <c r="O22" s="1409"/>
      <c r="P22" s="2341"/>
      <c r="Q22" s="2355"/>
      <c r="R22" s="1409"/>
      <c r="S22" s="1409"/>
      <c r="T22" s="1409"/>
      <c r="U22" s="1409"/>
      <c r="V22" s="1409"/>
      <c r="W22" s="2280"/>
      <c r="X22" s="1409"/>
      <c r="Y22" s="1409"/>
      <c r="Z22" s="19"/>
      <c r="AA22" s="1409"/>
      <c r="AB22" s="2239"/>
      <c r="AC22" s="2335"/>
      <c r="AD22" s="1409"/>
      <c r="AE22" s="2211"/>
      <c r="AF22" s="1413"/>
    </row>
    <row r="23" spans="1:32" ht="16.350000000000001" customHeight="1">
      <c r="A23" s="2228" t="s">
        <v>22</v>
      </c>
      <c r="B23" s="2229"/>
      <c r="C23" s="2229"/>
      <c r="D23" s="608"/>
      <c r="E23" s="9"/>
      <c r="F23" s="9"/>
      <c r="G23" s="9"/>
      <c r="H23" s="612"/>
      <c r="I23" s="19"/>
      <c r="J23" s="19"/>
      <c r="K23" s="19"/>
      <c r="L23" s="612"/>
      <c r="M23" s="19"/>
      <c r="N23" s="19"/>
      <c r="O23" s="1409"/>
      <c r="P23" s="2341"/>
      <c r="Q23" s="2355"/>
      <c r="R23" s="19"/>
      <c r="S23" s="19"/>
      <c r="T23" s="19"/>
      <c r="U23" s="19"/>
      <c r="V23" s="19"/>
      <c r="W23" s="2280"/>
      <c r="X23" s="19"/>
      <c r="Y23" s="19"/>
      <c r="Z23" s="19"/>
      <c r="AA23" s="19"/>
      <c r="AB23" s="2239"/>
      <c r="AC23" s="2335"/>
      <c r="AD23" s="19"/>
      <c r="AE23" s="2211"/>
      <c r="AF23" s="1413"/>
    </row>
    <row r="24" spans="1:32" ht="16.350000000000001" customHeight="1">
      <c r="A24" s="2229" t="s">
        <v>23</v>
      </c>
      <c r="B24" s="2347" t="s">
        <v>14</v>
      </c>
      <c r="C24" s="2229"/>
      <c r="D24" s="610"/>
      <c r="E24" s="10"/>
      <c r="F24" s="15"/>
      <c r="G24" s="9"/>
      <c r="H24" s="1769"/>
      <c r="I24" s="18"/>
      <c r="J24" s="2348"/>
      <c r="K24" s="19"/>
      <c r="L24" s="1769"/>
      <c r="M24" s="19"/>
      <c r="N24" s="18"/>
      <c r="O24" s="1409"/>
      <c r="P24" s="2341"/>
      <c r="Q24" s="2355"/>
      <c r="R24" s="18"/>
      <c r="S24" s="18"/>
      <c r="T24" s="18"/>
      <c r="U24" s="19"/>
      <c r="V24" s="19"/>
      <c r="W24" s="2280"/>
      <c r="X24" s="18"/>
      <c r="Y24" s="19"/>
      <c r="Z24" s="19"/>
      <c r="AA24" s="19"/>
      <c r="AB24" s="2239"/>
      <c r="AC24" s="2335"/>
      <c r="AD24" s="2348"/>
      <c r="AE24" s="2211"/>
      <c r="AF24" s="2263"/>
    </row>
    <row r="25" spans="1:32" ht="18" customHeight="1">
      <c r="A25" s="2264" t="s">
        <v>24</v>
      </c>
      <c r="B25" s="2229"/>
      <c r="C25" s="2229"/>
      <c r="D25" s="1352">
        <f>+'Exhibit A'!D24</f>
        <v>1133.2000000000007</v>
      </c>
      <c r="E25" s="9"/>
      <c r="F25" s="2349">
        <f>+'Exhibit A'!F24</f>
        <v>18213.400000000001</v>
      </c>
      <c r="G25" s="9"/>
      <c r="H25" s="1768">
        <f>+'Exhibit G State'!V89</f>
        <v>1963.6000000000004</v>
      </c>
      <c r="I25" s="19"/>
      <c r="J25" s="3445">
        <f>+'Exhibit G State'!AD89</f>
        <v>5003.1000000000004</v>
      </c>
      <c r="K25" s="19"/>
      <c r="L25" s="1769">
        <f>+'Exhibit A'!L24</f>
        <v>0</v>
      </c>
      <c r="M25" s="19"/>
      <c r="N25" s="18">
        <f>+'Exhibit A'!N24</f>
        <v>0</v>
      </c>
      <c r="O25" s="2344"/>
      <c r="P25" s="2342"/>
      <c r="Q25" s="3925"/>
      <c r="R25" s="3327">
        <f>ROUND(SUM(D25+H25+L25),1)</f>
        <v>3096.8</v>
      </c>
      <c r="S25" s="3327"/>
      <c r="T25" s="3327">
        <f>ROUND(SUM(F25+J25+N25),1)</f>
        <v>23216.5</v>
      </c>
      <c r="U25" s="19"/>
      <c r="V25" s="19"/>
      <c r="W25" s="2343"/>
      <c r="X25" s="18"/>
      <c r="Y25" s="19">
        <v>2609</v>
      </c>
      <c r="Z25" s="19" t="s">
        <v>14</v>
      </c>
      <c r="AA25" s="19">
        <f>+'Exhibit F'!AF101+'Exhibit G State'!AG89</f>
        <v>21461.9</v>
      </c>
      <c r="AB25" s="2239"/>
      <c r="AC25" s="2335"/>
      <c r="AD25" s="19">
        <f>ROUND(SUM(T25-AA25),1)</f>
        <v>1754.6</v>
      </c>
      <c r="AE25" s="2211"/>
      <c r="AF25" s="1410">
        <f>ROUND(+AD25/AA25,3)</f>
        <v>8.2000000000000003E-2</v>
      </c>
    </row>
    <row r="26" spans="1:32" ht="18" customHeight="1">
      <c r="A26" s="2264" t="s">
        <v>25</v>
      </c>
      <c r="B26" s="2266"/>
      <c r="C26" s="2229"/>
      <c r="D26" s="1352">
        <f>+'Exhibit A'!D25</f>
        <v>0.10000000000000053</v>
      </c>
      <c r="E26" s="9"/>
      <c r="F26" s="2349">
        <f>+'Exhibit A'!F25</f>
        <v>6.4</v>
      </c>
      <c r="G26" s="9"/>
      <c r="H26" s="1768">
        <f>+'Exhibit G State'!V90</f>
        <v>0.89999999999999991</v>
      </c>
      <c r="I26" s="3327"/>
      <c r="J26" s="3445">
        <f>+'Exhibit G State'!AD90</f>
        <v>3.4</v>
      </c>
      <c r="K26" s="19"/>
      <c r="L26" s="1769">
        <f>+'Exhibit A'!L25</f>
        <v>0</v>
      </c>
      <c r="M26" s="19"/>
      <c r="N26" s="18">
        <f>+'Exhibit A'!N25</f>
        <v>0</v>
      </c>
      <c r="O26" s="2344"/>
      <c r="P26" s="2342"/>
      <c r="Q26" s="3925"/>
      <c r="R26" s="3327">
        <f t="shared" ref="R26:R33" si="4">ROUND(SUM(D26+H26+L26),1)</f>
        <v>1</v>
      </c>
      <c r="S26" s="3327"/>
      <c r="T26" s="3327">
        <f t="shared" ref="T26:T33" si="5">ROUND(SUM(F26+J26+N26),1)</f>
        <v>9.8000000000000007</v>
      </c>
      <c r="U26" s="19"/>
      <c r="V26" s="19"/>
      <c r="W26" s="2343"/>
      <c r="X26" s="18"/>
      <c r="Y26" s="19">
        <v>0.2</v>
      </c>
      <c r="Z26" s="19" t="s">
        <v>14</v>
      </c>
      <c r="AA26" s="19">
        <f>+'Exhibit F'!AF102+'Exhibit G State'!AG90</f>
        <v>2.2999999999999998</v>
      </c>
      <c r="AB26" s="2239"/>
      <c r="AC26" s="2335"/>
      <c r="AD26" s="19">
        <f>ROUND(SUM(T26-AA26),1)</f>
        <v>7.5</v>
      </c>
      <c r="AE26" s="2211"/>
      <c r="AF26" s="1410">
        <f>ROUND(+AD26/AA26,3)</f>
        <v>3.2610000000000001</v>
      </c>
    </row>
    <row r="27" spans="1:32" ht="18" customHeight="1">
      <c r="A27" s="2264" t="s">
        <v>26</v>
      </c>
      <c r="B27" s="2267"/>
      <c r="C27" s="2229"/>
      <c r="D27" s="1352">
        <f>+'Exhibit A'!D26</f>
        <v>21.900000000000091</v>
      </c>
      <c r="E27" s="9"/>
      <c r="F27" s="2349">
        <f>+'Exhibit A'!F26</f>
        <v>935</v>
      </c>
      <c r="G27" s="9"/>
      <c r="H27" s="1768">
        <f>+'Exhibit G State'!V91</f>
        <v>16.999999999999993</v>
      </c>
      <c r="I27" s="19"/>
      <c r="J27" s="3445">
        <f>+'Exhibit G State'!AD91</f>
        <v>155.69999999999999</v>
      </c>
      <c r="K27" s="19"/>
      <c r="L27" s="1769">
        <f>+'Exhibit A'!L26</f>
        <v>0</v>
      </c>
      <c r="M27" s="19"/>
      <c r="N27" s="18">
        <f>+'Exhibit A'!N26</f>
        <v>0</v>
      </c>
      <c r="O27" s="2344"/>
      <c r="P27" s="2342"/>
      <c r="Q27" s="3925"/>
      <c r="R27" s="3327">
        <f t="shared" si="4"/>
        <v>38.9</v>
      </c>
      <c r="S27" s="3327"/>
      <c r="T27" s="3327">
        <f t="shared" si="5"/>
        <v>1090.7</v>
      </c>
      <c r="U27" s="19"/>
      <c r="V27" s="19"/>
      <c r="W27" s="2343"/>
      <c r="X27" s="18"/>
      <c r="Y27" s="19">
        <v>32</v>
      </c>
      <c r="Z27" s="19" t="s">
        <v>14</v>
      </c>
      <c r="AA27" s="19">
        <f>+'Exhibit F'!AF103+'Exhibit G State'!AG91</f>
        <v>949.1</v>
      </c>
      <c r="AB27" s="2239"/>
      <c r="AC27" s="2335"/>
      <c r="AD27" s="19">
        <f>ROUND(SUM(T27-AA27),1)</f>
        <v>141.6</v>
      </c>
      <c r="AE27" s="2211"/>
      <c r="AF27" s="1410">
        <f>ROUND(+AD27/AA27,3)</f>
        <v>0.14899999999999999</v>
      </c>
    </row>
    <row r="28" spans="1:32" ht="18" customHeight="1">
      <c r="A28" s="2264" t="s">
        <v>27</v>
      </c>
      <c r="B28" s="2267"/>
      <c r="C28" s="2229"/>
      <c r="D28" s="1352"/>
      <c r="E28" s="9"/>
      <c r="F28" s="2349"/>
      <c r="G28" s="9"/>
      <c r="H28" s="1768"/>
      <c r="I28" s="19"/>
      <c r="J28" s="3445"/>
      <c r="K28" s="19"/>
      <c r="L28" s="1769"/>
      <c r="M28" s="19"/>
      <c r="N28" s="18"/>
      <c r="O28" s="2344"/>
      <c r="P28" s="2342"/>
      <c r="Q28" s="3925"/>
      <c r="R28" s="3428" t="s">
        <v>14</v>
      </c>
      <c r="S28" s="3327"/>
      <c r="T28" s="3428" t="s">
        <v>14</v>
      </c>
      <c r="U28" s="19"/>
      <c r="V28" s="19"/>
      <c r="W28" s="2343"/>
      <c r="X28" s="18"/>
      <c r="Y28" s="612"/>
      <c r="Z28" s="19" t="s">
        <v>14</v>
      </c>
      <c r="AA28" s="612" t="s">
        <v>14</v>
      </c>
      <c r="AB28" s="2239"/>
      <c r="AC28" s="2335"/>
      <c r="AD28" s="19"/>
      <c r="AE28" s="2211"/>
      <c r="AF28" s="1410"/>
    </row>
    <row r="29" spans="1:32" ht="18" customHeight="1">
      <c r="A29" s="2350" t="s">
        <v>28</v>
      </c>
      <c r="B29" s="2268"/>
      <c r="C29" s="2229"/>
      <c r="D29" s="1352">
        <f>+'Exhibit A'!D28</f>
        <v>1263.2000000000016</v>
      </c>
      <c r="E29" s="9"/>
      <c r="F29" s="2349">
        <f>+'Exhibit A'!F28</f>
        <v>16146</v>
      </c>
      <c r="G29" s="9"/>
      <c r="H29" s="1768">
        <f>+'Exhibit G State'!V93</f>
        <v>466.70000000000027</v>
      </c>
      <c r="I29" s="19"/>
      <c r="J29" s="3445">
        <f>+'Exhibit G State'!AD93</f>
        <v>4679.2</v>
      </c>
      <c r="K29" s="19"/>
      <c r="L29" s="1769">
        <f>+'Exhibit A'!L28</f>
        <v>0</v>
      </c>
      <c r="M29" s="19"/>
      <c r="N29" s="18">
        <f>+'Exhibit A'!N28</f>
        <v>0</v>
      </c>
      <c r="O29" s="2344"/>
      <c r="P29" s="2342"/>
      <c r="Q29" s="3925"/>
      <c r="R29" s="3327">
        <f t="shared" si="4"/>
        <v>1729.9</v>
      </c>
      <c r="S29" s="3327"/>
      <c r="T29" s="3327">
        <f t="shared" si="5"/>
        <v>20825.2</v>
      </c>
      <c r="U29" s="19"/>
      <c r="V29" s="19"/>
      <c r="W29" s="2343"/>
      <c r="X29" s="18"/>
      <c r="Y29" s="19">
        <v>1469.1000000000001</v>
      </c>
      <c r="Z29" s="19" t="s">
        <v>14</v>
      </c>
      <c r="AA29" s="19">
        <f>+'Exhibit F'!AF105+'Exhibit G State'!AG93</f>
        <v>17560.8</v>
      </c>
      <c r="AB29" s="2239"/>
      <c r="AC29" s="2335"/>
      <c r="AD29" s="19">
        <f t="shared" ref="AD29:AD34" si="6">ROUND(SUM(T29-AA29),1)</f>
        <v>3264.4</v>
      </c>
      <c r="AE29" s="2211"/>
      <c r="AF29" s="1410">
        <f t="shared" ref="AF29:AF34" si="7">ROUND(+AD29/AA29,3)</f>
        <v>0.186</v>
      </c>
    </row>
    <row r="30" spans="1:32" ht="18" customHeight="1">
      <c r="A30" s="2264" t="s">
        <v>29</v>
      </c>
      <c r="B30" s="2267"/>
      <c r="C30" s="2229"/>
      <c r="D30" s="1352">
        <f>+'Exhibit A'!D29</f>
        <v>88.500000000000114</v>
      </c>
      <c r="E30" s="9"/>
      <c r="F30" s="2349">
        <f>+'Exhibit A'!F29</f>
        <v>1967.6</v>
      </c>
      <c r="G30" s="9"/>
      <c r="H30" s="1768">
        <f>+'Exhibit G State'!V94</f>
        <v>61.699999999999818</v>
      </c>
      <c r="I30" s="19"/>
      <c r="J30" s="3445">
        <f>+'Exhibit G State'!AD94</f>
        <v>931.4</v>
      </c>
      <c r="K30" s="19"/>
      <c r="L30" s="1769">
        <f>+'Exhibit A'!L29</f>
        <v>0</v>
      </c>
      <c r="M30" s="19"/>
      <c r="N30" s="18">
        <f>+'Exhibit A'!N29</f>
        <v>0</v>
      </c>
      <c r="O30" s="2344"/>
      <c r="P30" s="2342"/>
      <c r="Q30" s="3925"/>
      <c r="R30" s="3327">
        <f t="shared" si="4"/>
        <v>150.19999999999999</v>
      </c>
      <c r="S30" s="3327"/>
      <c r="T30" s="3327">
        <f t="shared" si="5"/>
        <v>2899</v>
      </c>
      <c r="U30" s="19"/>
      <c r="V30" s="19"/>
      <c r="W30" s="2343"/>
      <c r="X30" s="18"/>
      <c r="Y30" s="19">
        <v>340.2</v>
      </c>
      <c r="Z30" s="19" t="s">
        <v>14</v>
      </c>
      <c r="AA30" s="19">
        <f>+'Exhibit F'!AF106+'Exhibit G State'!AG94</f>
        <v>2603</v>
      </c>
      <c r="AB30" s="2239"/>
      <c r="AC30" s="2335"/>
      <c r="AD30" s="19">
        <f t="shared" si="6"/>
        <v>296</v>
      </c>
      <c r="AE30" s="2211"/>
      <c r="AF30" s="1410">
        <f t="shared" si="7"/>
        <v>0.114</v>
      </c>
    </row>
    <row r="31" spans="1:32" ht="18" customHeight="1">
      <c r="A31" s="2264" t="s">
        <v>30</v>
      </c>
      <c r="B31" s="2229"/>
      <c r="C31" s="2229"/>
      <c r="D31" s="1352">
        <f>+'Exhibit A'!D30</f>
        <v>37.199999999999982</v>
      </c>
      <c r="E31" s="9"/>
      <c r="F31" s="2349">
        <f>+'Exhibit A'!F30</f>
        <v>177.1</v>
      </c>
      <c r="G31" s="9"/>
      <c r="H31" s="1768">
        <f>+'Exhibit G State'!V95</f>
        <v>17.700000000000017</v>
      </c>
      <c r="I31" s="19"/>
      <c r="J31" s="3445">
        <f>+'Exhibit G State'!AD95</f>
        <v>216.3</v>
      </c>
      <c r="K31" s="19"/>
      <c r="L31" s="1769">
        <f>+'Exhibit A'!L30</f>
        <v>0</v>
      </c>
      <c r="M31" s="19"/>
      <c r="N31" s="18">
        <f>+'Exhibit A'!N30</f>
        <v>0</v>
      </c>
      <c r="O31" s="2344"/>
      <c r="P31" s="2342"/>
      <c r="Q31" s="3925"/>
      <c r="R31" s="3327">
        <f t="shared" si="4"/>
        <v>54.9</v>
      </c>
      <c r="S31" s="3327"/>
      <c r="T31" s="3327">
        <f t="shared" si="5"/>
        <v>393.4</v>
      </c>
      <c r="U31" s="19"/>
      <c r="V31" s="19"/>
      <c r="W31" s="2343"/>
      <c r="X31" s="18"/>
      <c r="Y31" s="19">
        <v>16.899999999999999</v>
      </c>
      <c r="Z31" s="19" t="s">
        <v>14</v>
      </c>
      <c r="AA31" s="19">
        <f>+'Exhibit F'!AF107+'Exhibit G State'!AG95</f>
        <v>210.9</v>
      </c>
      <c r="AB31" s="2239"/>
      <c r="AC31" s="2335"/>
      <c r="AD31" s="19">
        <f t="shared" si="6"/>
        <v>182.5</v>
      </c>
      <c r="AE31" s="2211"/>
      <c r="AF31" s="1410">
        <f t="shared" si="7"/>
        <v>0.86499999999999999</v>
      </c>
    </row>
    <row r="32" spans="1:32" ht="18" customHeight="1">
      <c r="A32" s="2264" t="s">
        <v>31</v>
      </c>
      <c r="B32" s="2229"/>
      <c r="C32" s="2229"/>
      <c r="D32" s="1352">
        <f>+'Exhibit A'!D31</f>
        <v>284.90000000000032</v>
      </c>
      <c r="E32" s="9"/>
      <c r="F32" s="2349">
        <f>+'Exhibit A'!F31</f>
        <v>4405.8</v>
      </c>
      <c r="G32" s="9"/>
      <c r="H32" s="1768">
        <f>+'Exhibit G State'!V96</f>
        <v>0.19999999999999973</v>
      </c>
      <c r="I32" s="19"/>
      <c r="J32" s="3445">
        <f>+'Exhibit G State'!AD96</f>
        <v>2.8</v>
      </c>
      <c r="K32" s="19"/>
      <c r="L32" s="1769">
        <f>+'Exhibit A'!L31</f>
        <v>0</v>
      </c>
      <c r="M32" s="19"/>
      <c r="N32" s="18">
        <f>+'Exhibit A'!N31</f>
        <v>0</v>
      </c>
      <c r="O32" s="2344"/>
      <c r="P32" s="2342"/>
      <c r="Q32" s="3925"/>
      <c r="R32" s="3327">
        <f t="shared" si="4"/>
        <v>285.10000000000002</v>
      </c>
      <c r="S32" s="3327"/>
      <c r="T32" s="3327">
        <f t="shared" si="5"/>
        <v>4408.6000000000004</v>
      </c>
      <c r="U32" s="19"/>
      <c r="V32" s="19"/>
      <c r="W32" s="2343"/>
      <c r="X32" s="18"/>
      <c r="Y32" s="19">
        <v>152.80000000000001</v>
      </c>
      <c r="Z32" s="19" t="s">
        <v>14</v>
      </c>
      <c r="AA32" s="612">
        <f>+'Exhibit F'!AF108+'Exhibit G State'!AG96</f>
        <v>1972.1999999999998</v>
      </c>
      <c r="AB32" s="2239"/>
      <c r="AC32" s="2335"/>
      <c r="AD32" s="19">
        <f t="shared" si="6"/>
        <v>2436.4</v>
      </c>
      <c r="AE32" s="2211"/>
      <c r="AF32" s="1410">
        <f t="shared" si="7"/>
        <v>1.2350000000000001</v>
      </c>
    </row>
    <row r="33" spans="1:32" ht="18" customHeight="1">
      <c r="A33" s="2264" t="s">
        <v>32</v>
      </c>
      <c r="B33" s="2229"/>
      <c r="C33" s="2229"/>
      <c r="D33" s="1352">
        <f>+'Exhibit A'!D32</f>
        <v>3.6999999999999034</v>
      </c>
      <c r="E33" s="9"/>
      <c r="F33" s="2349">
        <f>+'Exhibit A'!F32</f>
        <v>718.19999999999993</v>
      </c>
      <c r="G33" s="9"/>
      <c r="H33" s="1768">
        <f>+'Exhibit G State'!V97</f>
        <v>9.3999999999999986</v>
      </c>
      <c r="I33" s="19"/>
      <c r="J33" s="3445">
        <f>+'Exhibit G State'!AD97</f>
        <v>54</v>
      </c>
      <c r="K33" s="19"/>
      <c r="L33" s="1769">
        <f>+'Exhibit A'!L32</f>
        <v>0</v>
      </c>
      <c r="M33" s="19"/>
      <c r="N33" s="18">
        <f>+'Exhibit A'!N32</f>
        <v>0</v>
      </c>
      <c r="O33" s="2344"/>
      <c r="P33" s="2342"/>
      <c r="Q33" s="3925"/>
      <c r="R33" s="3327">
        <f t="shared" si="4"/>
        <v>13.1</v>
      </c>
      <c r="S33" s="3327"/>
      <c r="T33" s="3327">
        <f t="shared" si="5"/>
        <v>772.2</v>
      </c>
      <c r="U33" s="19"/>
      <c r="V33" s="19"/>
      <c r="W33" s="2343"/>
      <c r="X33" s="18"/>
      <c r="Y33" s="19">
        <v>10</v>
      </c>
      <c r="Z33" s="19" t="s">
        <v>14</v>
      </c>
      <c r="AA33" s="612">
        <f>+'Exhibit F'!AF109+'Exhibit G State'!AG97</f>
        <v>104.80000000000001</v>
      </c>
      <c r="AB33" s="2239"/>
      <c r="AC33" s="2335"/>
      <c r="AD33" s="19">
        <f t="shared" si="6"/>
        <v>667.4</v>
      </c>
      <c r="AE33" s="2211"/>
      <c r="AF33" s="1410">
        <f t="shared" si="7"/>
        <v>6.3680000000000003</v>
      </c>
    </row>
    <row r="34" spans="1:32" ht="18" customHeight="1">
      <c r="A34" s="2264" t="s">
        <v>33</v>
      </c>
      <c r="B34" s="2229"/>
      <c r="C34" s="2229"/>
      <c r="D34" s="1352">
        <f>+'Exhibit A'!D33</f>
        <v>0</v>
      </c>
      <c r="E34" s="9"/>
      <c r="F34" s="2349">
        <f>+'Exhibit A'!F33</f>
        <v>109.1</v>
      </c>
      <c r="G34" s="9"/>
      <c r="H34" s="1768">
        <f>+'Exhibit G State'!V98</f>
        <v>69.699999999999818</v>
      </c>
      <c r="I34" s="19"/>
      <c r="J34" s="3445">
        <f>+'Exhibit G State'!AD98</f>
        <v>3500.6</v>
      </c>
      <c r="K34" s="19"/>
      <c r="L34" s="1769">
        <f>+'Exhibit A'!L33</f>
        <v>0</v>
      </c>
      <c r="M34" s="19"/>
      <c r="N34" s="18">
        <f>+'Exhibit A'!N33</f>
        <v>0</v>
      </c>
      <c r="O34" s="2344"/>
      <c r="P34" s="2342"/>
      <c r="Q34" s="3925"/>
      <c r="R34" s="3926">
        <f>ROUND(SUM(D34+H34+L34),1)</f>
        <v>69.7</v>
      </c>
      <c r="S34" s="3327"/>
      <c r="T34" s="3926">
        <f>ROUND(SUM(F34+J34+N34),1)</f>
        <v>3609.7</v>
      </c>
      <c r="U34" s="19"/>
      <c r="V34" s="19"/>
      <c r="W34" s="2343"/>
      <c r="X34" s="18"/>
      <c r="Y34" s="19">
        <v>70.400000000000006</v>
      </c>
      <c r="Z34" s="19" t="s">
        <v>14</v>
      </c>
      <c r="AA34" s="1409">
        <f>+'Exhibit F'!AF110+'Exhibit G State'!AG98</f>
        <v>3003.4</v>
      </c>
      <c r="AB34" s="2239"/>
      <c r="AC34" s="2335"/>
      <c r="AD34" s="19">
        <f t="shared" si="6"/>
        <v>606.29999999999995</v>
      </c>
      <c r="AE34" s="2211"/>
      <c r="AF34" s="1410">
        <f t="shared" si="7"/>
        <v>0.20200000000000001</v>
      </c>
    </row>
    <row r="35" spans="1:32" ht="18" customHeight="1">
      <c r="A35" s="2228" t="s">
        <v>34</v>
      </c>
      <c r="B35" s="2229"/>
      <c r="C35" s="2229"/>
      <c r="D35" s="12">
        <f>ROUND(SUM(D25:D34),1)</f>
        <v>2832.7</v>
      </c>
      <c r="E35" s="1351"/>
      <c r="F35" s="12">
        <f>ROUND(SUM(F25:F34),1)</f>
        <v>42678.6</v>
      </c>
      <c r="G35" s="1351"/>
      <c r="H35" s="1539">
        <f>ROUND(SUM(H25:H34),1)</f>
        <v>2606.9</v>
      </c>
      <c r="I35" s="20"/>
      <c r="J35" s="1539">
        <f>ROUND(SUM(J25:J34),1)</f>
        <v>14546.5</v>
      </c>
      <c r="K35" s="20"/>
      <c r="L35" s="3365">
        <f>ROUND(SUM(L25:L34),1)</f>
        <v>0</v>
      </c>
      <c r="M35" s="20"/>
      <c r="N35" s="3876">
        <f>ROUND(SUM(N25:N34),1)</f>
        <v>0</v>
      </c>
      <c r="O35" s="2353"/>
      <c r="P35" s="2351"/>
      <c r="Q35" s="3927"/>
      <c r="R35" s="1539">
        <f>ROUND(SUM(R25:R34),1)</f>
        <v>5439.6</v>
      </c>
      <c r="S35" s="2353"/>
      <c r="T35" s="1539">
        <f>ROUND(SUM(T25:T34),1)</f>
        <v>57225.1</v>
      </c>
      <c r="U35" s="1462"/>
      <c r="V35" s="1462"/>
      <c r="W35" s="2352"/>
      <c r="X35" s="2353"/>
      <c r="Y35" s="1539">
        <f>ROUND(SUM(Y25:Y34),1)</f>
        <v>4700.6000000000004</v>
      </c>
      <c r="Z35" s="20"/>
      <c r="AA35" s="1539">
        <f>ROUND(SUM(AA25:AA34),1)</f>
        <v>47868.4</v>
      </c>
      <c r="AB35" s="2285"/>
      <c r="AC35" s="2346"/>
      <c r="AD35" s="1539">
        <f>ROUND(SUM(AD25:AD34),1)</f>
        <v>9356.7000000000007</v>
      </c>
      <c r="AE35" s="2260"/>
      <c r="AF35" s="1426">
        <f>ROUND(+AD35/AA35,3)</f>
        <v>0.19500000000000001</v>
      </c>
    </row>
    <row r="36" spans="1:32" ht="18" customHeight="1">
      <c r="A36" s="2229" t="s">
        <v>35</v>
      </c>
      <c r="B36" s="2267"/>
      <c r="C36" s="2229"/>
      <c r="D36" s="608"/>
      <c r="E36" s="9"/>
      <c r="F36" s="9"/>
      <c r="G36" s="9"/>
      <c r="H36" s="612"/>
      <c r="I36" s="19"/>
      <c r="J36" s="19"/>
      <c r="K36" s="19"/>
      <c r="L36" s="612"/>
      <c r="M36" s="19"/>
      <c r="N36" s="19"/>
      <c r="O36" s="1409"/>
      <c r="P36" s="2341"/>
      <c r="Q36" s="2355"/>
      <c r="R36" s="19"/>
      <c r="S36" s="19"/>
      <c r="T36" s="19"/>
      <c r="U36" s="19"/>
      <c r="V36" s="19"/>
      <c r="W36" s="2280"/>
      <c r="X36" s="19"/>
      <c r="Y36" s="19"/>
      <c r="Z36" s="19"/>
      <c r="AA36" s="19"/>
      <c r="AB36" s="2239"/>
      <c r="AC36" s="2335"/>
      <c r="AD36" s="19"/>
      <c r="AE36" s="2211"/>
      <c r="AF36" s="1413"/>
    </row>
    <row r="37" spans="1:32" ht="18" customHeight="1">
      <c r="A37" s="2229" t="s">
        <v>36</v>
      </c>
      <c r="B37" s="2266"/>
      <c r="C37" s="2229"/>
      <c r="D37" s="608">
        <f>+'Exhibit A'!D36</f>
        <v>666.70000000000016</v>
      </c>
      <c r="E37" s="9"/>
      <c r="F37" s="2349">
        <f>+'Exhibit A'!F36</f>
        <v>6593.5</v>
      </c>
      <c r="G37" s="9"/>
      <c r="H37" s="612">
        <f>+'Exhibit G State'!V101</f>
        <v>384.20000000000016</v>
      </c>
      <c r="I37" s="19"/>
      <c r="J37" s="3445">
        <f>+'Exhibit G State'!AD101</f>
        <v>4177.6000000000004</v>
      </c>
      <c r="K37" s="19"/>
      <c r="L37" s="1405">
        <f>+'Exhibit A'!L36</f>
        <v>0</v>
      </c>
      <c r="M37" s="3327"/>
      <c r="N37" s="18">
        <f>+'Exhibit A'!N36</f>
        <v>0</v>
      </c>
      <c r="O37" s="2344"/>
      <c r="P37" s="2342"/>
      <c r="Q37" s="3925"/>
      <c r="R37" s="3327">
        <f>ROUND(SUM(D37+H37+L37),1)</f>
        <v>1050.9000000000001</v>
      </c>
      <c r="S37" s="18"/>
      <c r="T37" s="19">
        <f>ROUND(SUM(F37+J37+N37),1)</f>
        <v>10771.1</v>
      </c>
      <c r="U37" s="19"/>
      <c r="V37" s="19"/>
      <c r="W37" s="2343"/>
      <c r="X37" s="18"/>
      <c r="Y37" s="19">
        <v>963.9</v>
      </c>
      <c r="Z37" s="19" t="s">
        <v>14</v>
      </c>
      <c r="AA37" s="19">
        <f>+'Exhibit F'!AF113+'Exhibit G State'!AG101</f>
        <v>9912.1</v>
      </c>
      <c r="AB37" s="2239"/>
      <c r="AC37" s="2335"/>
      <c r="AD37" s="19">
        <f t="shared" ref="AD37:AD41" si="8">ROUND(SUM(T37-AA37),1)</f>
        <v>859</v>
      </c>
      <c r="AE37" s="2211"/>
      <c r="AF37" s="1410">
        <f>ROUND(+AD37/AA37,3)</f>
        <v>8.6999999999999994E-2</v>
      </c>
    </row>
    <row r="38" spans="1:32" ht="18" customHeight="1">
      <c r="A38" s="2274" t="s">
        <v>37</v>
      </c>
      <c r="B38" s="3444"/>
      <c r="C38" s="2274"/>
      <c r="D38" s="612">
        <f>+'Exhibit A'!D37</f>
        <v>381.20000000000027</v>
      </c>
      <c r="E38" s="19"/>
      <c r="F38" s="3445">
        <f>+'Exhibit A'!F37</f>
        <v>2250.9</v>
      </c>
      <c r="G38" s="19"/>
      <c r="H38" s="612">
        <f>+'Exhibit G State'!V102</f>
        <v>268.80000000000007</v>
      </c>
      <c r="I38" s="19"/>
      <c r="J38" s="3445">
        <f>+'Exhibit G State'!AD102</f>
        <v>2357.8000000000002</v>
      </c>
      <c r="K38" s="19"/>
      <c r="L38" s="1405">
        <f>+'Exhibit A'!L37</f>
        <v>0</v>
      </c>
      <c r="M38" s="3327"/>
      <c r="N38" s="18">
        <f>+'Exhibit A'!N37</f>
        <v>3.4</v>
      </c>
      <c r="O38" s="1409"/>
      <c r="P38" s="2341"/>
      <c r="Q38" s="2355"/>
      <c r="R38" s="3327">
        <f>ROUND(SUM(D38+H38+L38),1)</f>
        <v>650</v>
      </c>
      <c r="S38" s="18"/>
      <c r="T38" s="19">
        <f>ROUND(SUM(F38+J38+N38),1)</f>
        <v>4612.1000000000004</v>
      </c>
      <c r="U38" s="19"/>
      <c r="V38" s="19"/>
      <c r="W38" s="2280"/>
      <c r="X38" s="19"/>
      <c r="Y38" s="19">
        <v>456.5</v>
      </c>
      <c r="Z38" s="19" t="s">
        <v>14</v>
      </c>
      <c r="AA38" s="19">
        <f>+'Exhibit F'!AF114+'Exhibit G State'!AG102+'Exhibit H'!AD58</f>
        <v>3597.9</v>
      </c>
      <c r="AB38" s="2239"/>
      <c r="AC38" s="2335"/>
      <c r="AD38" s="19">
        <f t="shared" si="8"/>
        <v>1014.2</v>
      </c>
      <c r="AF38" s="1629">
        <f>ROUND(+AD38/AA38,3)</f>
        <v>0.28199999999999997</v>
      </c>
    </row>
    <row r="39" spans="1:32" ht="18" customHeight="1">
      <c r="A39" s="2229" t="s">
        <v>38</v>
      </c>
      <c r="B39" s="2251"/>
      <c r="C39" s="2229"/>
      <c r="D39" s="608">
        <f>+'Exhibit A'!D38</f>
        <v>487.30000000000018</v>
      </c>
      <c r="E39" s="9"/>
      <c r="F39" s="2349">
        <f>+'Exhibit A'!F38</f>
        <v>6628.1</v>
      </c>
      <c r="G39" s="9"/>
      <c r="H39" s="612">
        <f>+'Exhibit G State'!V103</f>
        <v>62.400000000000091</v>
      </c>
      <c r="I39" s="19"/>
      <c r="J39" s="3445">
        <f>+'Exhibit G State'!AD103</f>
        <v>917.2</v>
      </c>
      <c r="K39" s="19"/>
      <c r="L39" s="1405">
        <f>+'Exhibit A'!L38</f>
        <v>0</v>
      </c>
      <c r="M39" s="19"/>
      <c r="N39" s="18">
        <f>+'Exhibit A'!N38</f>
        <v>0</v>
      </c>
      <c r="O39" s="2344"/>
      <c r="P39" s="2342"/>
      <c r="Q39" s="3925"/>
      <c r="R39" s="3327">
        <f>ROUND(SUM(D39+H39+L39),1)</f>
        <v>549.70000000000005</v>
      </c>
      <c r="S39" s="18"/>
      <c r="T39" s="19">
        <f>ROUND(SUM(F39+J39+N39),1)</f>
        <v>7545.3</v>
      </c>
      <c r="U39" s="19"/>
      <c r="V39" s="19"/>
      <c r="W39" s="2343"/>
      <c r="X39" s="18"/>
      <c r="Y39" s="19">
        <v>-217.5</v>
      </c>
      <c r="Z39" s="19" t="s">
        <v>14</v>
      </c>
      <c r="AA39" s="19">
        <f>+'Exhibit F'!AF115+'Exhibit G State'!AG103</f>
        <v>5838.9</v>
      </c>
      <c r="AB39" s="2239"/>
      <c r="AC39" s="2335"/>
      <c r="AD39" s="19">
        <f t="shared" si="8"/>
        <v>1706.4</v>
      </c>
      <c r="AE39" s="2211"/>
      <c r="AF39" s="1410">
        <f>ROUND(+AD39/AA39,3)</f>
        <v>0.29199999999999998</v>
      </c>
    </row>
    <row r="40" spans="1:32" ht="18" customHeight="1">
      <c r="A40" s="2229" t="s">
        <v>39</v>
      </c>
      <c r="B40" s="2229"/>
      <c r="C40" s="2229"/>
      <c r="D40" s="608"/>
      <c r="E40" s="9"/>
      <c r="F40" s="9"/>
      <c r="G40" s="9"/>
      <c r="H40" s="612"/>
      <c r="I40" s="19"/>
      <c r="J40" s="19"/>
      <c r="K40" s="19"/>
      <c r="L40" s="612"/>
      <c r="M40" s="19"/>
      <c r="N40" s="19"/>
      <c r="O40" s="1409"/>
      <c r="P40" s="2341"/>
      <c r="Q40" s="2355"/>
      <c r="R40" s="3428" t="s">
        <v>14</v>
      </c>
      <c r="S40" s="19"/>
      <c r="T40" s="612" t="s">
        <v>14</v>
      </c>
      <c r="U40" s="19"/>
      <c r="V40" s="19"/>
      <c r="W40" s="2280"/>
      <c r="X40" s="19"/>
      <c r="Y40" s="612"/>
      <c r="Z40" s="19"/>
      <c r="AA40" s="612" t="s">
        <v>14</v>
      </c>
      <c r="AB40" s="2239"/>
      <c r="AC40" s="2335"/>
      <c r="AD40" s="19"/>
      <c r="AE40" s="2211"/>
      <c r="AF40" s="1410"/>
    </row>
    <row r="41" spans="1:32" ht="18" customHeight="1">
      <c r="A41" s="2229" t="s">
        <v>40</v>
      </c>
      <c r="B41" s="2354"/>
      <c r="C41" s="2229"/>
      <c r="D41" s="611">
        <v>0</v>
      </c>
      <c r="E41" s="9"/>
      <c r="F41" s="10">
        <v>0</v>
      </c>
      <c r="G41" s="9"/>
      <c r="H41" s="1405">
        <v>0</v>
      </c>
      <c r="I41" s="19"/>
      <c r="J41" s="18">
        <v>0</v>
      </c>
      <c r="K41" s="19"/>
      <c r="L41" s="1405">
        <f>+'Exhibit A'!L40</f>
        <v>7.6000000000001364</v>
      </c>
      <c r="M41" s="3327"/>
      <c r="N41" s="18">
        <f>+'Exhibit A'!N40</f>
        <v>1450.2</v>
      </c>
      <c r="O41" s="1409"/>
      <c r="P41" s="2341"/>
      <c r="Q41" s="2355"/>
      <c r="R41" s="3327">
        <f>ROUND(SUM(D41+H41+L41),1)</f>
        <v>7.6</v>
      </c>
      <c r="S41" s="19"/>
      <c r="T41" s="19">
        <f>ROUND(SUM(F41+J41+N41),1)</f>
        <v>1450.2</v>
      </c>
      <c r="U41" s="19"/>
      <c r="V41" s="19"/>
      <c r="W41" s="2280"/>
      <c r="X41" s="19"/>
      <c r="Y41" s="19">
        <v>10.6</v>
      </c>
      <c r="Z41" s="19" t="s">
        <v>14</v>
      </c>
      <c r="AA41" s="19">
        <f>+'Exhibit H'!AD60</f>
        <v>2589.6</v>
      </c>
      <c r="AB41" s="2239"/>
      <c r="AC41" s="2335"/>
      <c r="AD41" s="19">
        <f t="shared" si="8"/>
        <v>-1139.4000000000001</v>
      </c>
      <c r="AE41" s="2211"/>
      <c r="AF41" s="1410">
        <f>ROUND(+AD41/AA41,3)</f>
        <v>-0.44</v>
      </c>
    </row>
    <row r="42" spans="1:32" ht="18" customHeight="1">
      <c r="A42" s="2229" t="s">
        <v>41</v>
      </c>
      <c r="B42" s="2266"/>
      <c r="C42" s="2229"/>
      <c r="D42" s="611">
        <v>0</v>
      </c>
      <c r="E42" s="9"/>
      <c r="F42" s="10">
        <v>0</v>
      </c>
      <c r="G42" s="9"/>
      <c r="H42" s="1405">
        <f>'Exhibit G State'!V104</f>
        <v>0</v>
      </c>
      <c r="I42" s="19"/>
      <c r="J42" s="1405">
        <f>'Exhibit G State'!AD104</f>
        <v>0</v>
      </c>
      <c r="K42" s="19"/>
      <c r="L42" s="1405">
        <v>0</v>
      </c>
      <c r="M42" s="3327"/>
      <c r="N42" s="18">
        <v>0</v>
      </c>
      <c r="O42" s="1409"/>
      <c r="P42" s="2341"/>
      <c r="Q42" s="3928"/>
      <c r="R42" s="3327">
        <f>ROUND(SUM(D42+H42+L42),1)</f>
        <v>0</v>
      </c>
      <c r="S42" s="19"/>
      <c r="T42" s="19">
        <f>ROUND(SUM(F42+J42+N42),1)</f>
        <v>0</v>
      </c>
      <c r="U42" s="19"/>
      <c r="V42" s="19"/>
      <c r="W42" s="3486"/>
      <c r="X42" s="19"/>
      <c r="Y42" s="19">
        <v>0</v>
      </c>
      <c r="Z42" s="19"/>
      <c r="AA42" s="19">
        <f>'Exhibit G State'!AG104</f>
        <v>0</v>
      </c>
      <c r="AB42" s="2239"/>
      <c r="AC42" s="2335"/>
      <c r="AD42" s="19">
        <f>ROUND(SUM(T42-AA42),1)</f>
        <v>0</v>
      </c>
      <c r="AE42" s="2211"/>
      <c r="AF42" s="1410">
        <f>IF(AA42=0,0,AD42/AA42)</f>
        <v>0</v>
      </c>
    </row>
    <row r="43" spans="1:32" ht="18" customHeight="1">
      <c r="A43" s="2228" t="s">
        <v>56</v>
      </c>
      <c r="B43" s="2229"/>
      <c r="C43" s="2229"/>
      <c r="D43" s="12">
        <f>SUM(D35:D42)</f>
        <v>4367.9000000000005</v>
      </c>
      <c r="E43" s="1351"/>
      <c r="F43" s="12">
        <f>SUM(F35:F42)</f>
        <v>58151.1</v>
      </c>
      <c r="G43" s="1351"/>
      <c r="H43" s="1539">
        <f>SUM(H35:H42)</f>
        <v>3322.3000000000006</v>
      </c>
      <c r="I43" s="20"/>
      <c r="J43" s="1539">
        <f>SUM(J35:J42)</f>
        <v>21999.1</v>
      </c>
      <c r="K43" s="20"/>
      <c r="L43" s="1539">
        <f>SUM(L35:L42)</f>
        <v>7.6000000000001364</v>
      </c>
      <c r="M43" s="20"/>
      <c r="N43" s="1539">
        <f>SUM(N35:N42)</f>
        <v>1453.6000000000001</v>
      </c>
      <c r="O43" s="1462"/>
      <c r="P43" s="2345"/>
      <c r="Q43" s="3705"/>
      <c r="R43" s="1539">
        <f>ROUND(SUM(R35:R42),1)</f>
        <v>7697.8</v>
      </c>
      <c r="S43" s="1462"/>
      <c r="T43" s="1539">
        <f>ROUND(SUM(T35:T42),1)</f>
        <v>81603.8</v>
      </c>
      <c r="U43" s="1462"/>
      <c r="V43" s="1462"/>
      <c r="W43" s="2284"/>
      <c r="X43" s="1462"/>
      <c r="Y43" s="1539">
        <f>ROUND(SUM(Y35:Y42),1)</f>
        <v>5914.1</v>
      </c>
      <c r="Z43" s="20"/>
      <c r="AA43" s="1539">
        <f>ROUND(SUM(AA35:AA42),1)</f>
        <v>69806.899999999994</v>
      </c>
      <c r="AB43" s="2285"/>
      <c r="AC43" s="2346"/>
      <c r="AD43" s="1539">
        <f>ROUND(SUM(AD35:AD42),1)</f>
        <v>11796.9</v>
      </c>
      <c r="AE43" s="2260"/>
      <c r="AF43" s="1426">
        <f>ROUND(+AD43/AA43,3)</f>
        <v>0.16900000000000001</v>
      </c>
    </row>
    <row r="44" spans="1:32" ht="16.350000000000001" customHeight="1">
      <c r="A44" s="2228"/>
      <c r="B44" s="2229"/>
      <c r="C44" s="2229"/>
      <c r="D44" s="609"/>
      <c r="E44" s="9"/>
      <c r="F44" s="14"/>
      <c r="G44" s="9"/>
      <c r="H44" s="1406"/>
      <c r="I44" s="19"/>
      <c r="J44" s="1409"/>
      <c r="K44" s="19"/>
      <c r="L44" s="1406"/>
      <c r="M44" s="19"/>
      <c r="N44" s="1409"/>
      <c r="O44" s="1409"/>
      <c r="P44" s="2341"/>
      <c r="Q44" s="2355"/>
      <c r="R44" s="1409"/>
      <c r="S44" s="1409"/>
      <c r="T44" s="1409"/>
      <c r="U44" s="1409"/>
      <c r="V44" s="1409"/>
      <c r="W44" s="2280"/>
      <c r="X44" s="1409"/>
      <c r="Y44" s="1409"/>
      <c r="Z44" s="19"/>
      <c r="AA44" s="1409"/>
      <c r="AB44" s="2239"/>
      <c r="AC44" s="2335"/>
      <c r="AD44" s="1409"/>
      <c r="AE44" s="2211"/>
      <c r="AF44" s="1413"/>
    </row>
    <row r="45" spans="1:32" ht="16.350000000000001" customHeight="1">
      <c r="A45" s="2228" t="s">
        <v>43</v>
      </c>
      <c r="B45" s="2228"/>
      <c r="C45" s="2229"/>
      <c r="D45" s="608"/>
      <c r="E45" s="9"/>
      <c r="F45" s="9"/>
      <c r="G45" s="9"/>
      <c r="H45" s="612"/>
      <c r="I45" s="19"/>
      <c r="J45" s="19"/>
      <c r="K45" s="19"/>
      <c r="L45" s="612"/>
      <c r="M45" s="19"/>
      <c r="N45" s="19"/>
      <c r="O45" s="1409"/>
      <c r="P45" s="2341"/>
      <c r="Q45" s="2355"/>
      <c r="R45" s="19"/>
      <c r="S45" s="19"/>
      <c r="T45" s="19"/>
      <c r="U45" s="19"/>
      <c r="V45" s="19"/>
      <c r="W45" s="2280"/>
      <c r="X45" s="19"/>
      <c r="Y45" s="19"/>
      <c r="Z45" s="19"/>
      <c r="AA45" s="19"/>
      <c r="AB45" s="2239"/>
      <c r="AC45" s="2335"/>
      <c r="AD45" s="19"/>
      <c r="AE45" s="2211"/>
      <c r="AF45" s="1413"/>
    </row>
    <row r="46" spans="1:32" ht="16.350000000000001" customHeight="1">
      <c r="A46" s="2228" t="s">
        <v>44</v>
      </c>
      <c r="B46" s="2228"/>
      <c r="C46" s="2229"/>
      <c r="D46" s="17">
        <f>ROUND(SUM(D21-D43),1)</f>
        <v>359.5</v>
      </c>
      <c r="E46" s="1351"/>
      <c r="F46" s="17">
        <f>ROUND(SUM(F21-F43),1)</f>
        <v>-11601.8</v>
      </c>
      <c r="G46" s="1351"/>
      <c r="H46" s="1631">
        <f>ROUND(SUM(H21-H43),1)</f>
        <v>370.7</v>
      </c>
      <c r="I46" s="20"/>
      <c r="J46" s="1631">
        <f>ROUND(SUM(J21-J43),1)</f>
        <v>-1195.8</v>
      </c>
      <c r="K46" s="20"/>
      <c r="L46" s="1631">
        <f>ROUND(SUM(L21-L43),1)</f>
        <v>6917.2</v>
      </c>
      <c r="M46" s="20" t="s">
        <v>14</v>
      </c>
      <c r="N46" s="1631">
        <f>ROUND(SUM(N21-N43),1)</f>
        <v>45804.3</v>
      </c>
      <c r="O46" s="1462"/>
      <c r="P46" s="2345"/>
      <c r="Q46" s="3705"/>
      <c r="R46" s="1631">
        <f>ROUND(SUM(+R21-R43),1)</f>
        <v>7647.4</v>
      </c>
      <c r="S46" s="1462"/>
      <c r="T46" s="1631">
        <f>ROUND(SUM(+T21-T43),1)</f>
        <v>33006.699999999997</v>
      </c>
      <c r="U46" s="1462"/>
      <c r="V46" s="1462"/>
      <c r="W46" s="2284"/>
      <c r="X46" s="1462"/>
      <c r="Y46" s="1631">
        <f>ROUND(SUM(Y21-Y43),1)</f>
        <v>7097.6</v>
      </c>
      <c r="Z46" s="20" t="s">
        <v>14</v>
      </c>
      <c r="AA46" s="1631">
        <f>ROUND(SUM(AA21-AA43),1)</f>
        <v>18009.7</v>
      </c>
      <c r="AB46" s="2285"/>
      <c r="AC46" s="2346"/>
      <c r="AD46" s="1631">
        <f>ROUND(SUM(AD21-AD43),1)</f>
        <v>14997</v>
      </c>
      <c r="AE46" s="2273"/>
      <c r="AF46" s="1450">
        <f>ROUND(AD46/ABS(AA46),3)</f>
        <v>0.83299999999999996</v>
      </c>
    </row>
    <row r="47" spans="1:32" ht="16.350000000000001" customHeight="1">
      <c r="A47" s="2229"/>
      <c r="B47" s="2229"/>
      <c r="C47" s="2229"/>
      <c r="D47" s="609"/>
      <c r="E47" s="9"/>
      <c r="F47" s="14"/>
      <c r="G47" s="9"/>
      <c r="H47" s="1406"/>
      <c r="I47" s="19"/>
      <c r="J47" s="1409"/>
      <c r="K47" s="19"/>
      <c r="L47" s="1406"/>
      <c r="M47" s="19"/>
      <c r="N47" s="1409"/>
      <c r="O47" s="1409"/>
      <c r="P47" s="2341"/>
      <c r="Q47" s="2355"/>
      <c r="R47" s="1409"/>
      <c r="S47" s="1409"/>
      <c r="T47" s="1409"/>
      <c r="U47" s="1409"/>
      <c r="V47" s="1409"/>
      <c r="W47" s="2280"/>
      <c r="X47" s="1409"/>
      <c r="Y47" s="1409"/>
      <c r="Z47" s="19"/>
      <c r="AA47" s="1409"/>
      <c r="AB47" s="2239"/>
      <c r="AC47" s="2335"/>
      <c r="AD47" s="1409"/>
      <c r="AE47" s="2211"/>
      <c r="AF47" s="1413"/>
    </row>
    <row r="48" spans="1:32" ht="16.350000000000001" customHeight="1">
      <c r="A48" s="2228" t="s">
        <v>45</v>
      </c>
      <c r="B48" s="2228"/>
      <c r="C48" s="2229"/>
      <c r="D48" s="608"/>
      <c r="E48" s="9"/>
      <c r="F48" s="9"/>
      <c r="G48" s="9"/>
      <c r="H48" s="612"/>
      <c r="I48" s="19"/>
      <c r="J48" s="19"/>
      <c r="K48" s="19"/>
      <c r="L48" s="612"/>
      <c r="M48" s="19"/>
      <c r="N48" s="19"/>
      <c r="O48" s="1409"/>
      <c r="P48" s="2341"/>
      <c r="Q48" s="2355"/>
      <c r="R48" s="19"/>
      <c r="S48" s="19"/>
      <c r="T48" s="19"/>
      <c r="U48" s="19"/>
      <c r="V48" s="19"/>
      <c r="W48" s="2280"/>
      <c r="X48" s="19"/>
      <c r="Y48" s="19"/>
      <c r="Z48" s="19"/>
      <c r="AA48" s="19"/>
      <c r="AB48" s="2239"/>
      <c r="AC48" s="2335"/>
      <c r="AD48" s="19"/>
      <c r="AE48" s="2211"/>
      <c r="AF48" s="1413"/>
    </row>
    <row r="49" spans="1:33" ht="18" customHeight="1">
      <c r="A49" s="2274" t="s">
        <v>46</v>
      </c>
      <c r="B49" s="2354" t="s">
        <v>1151</v>
      </c>
      <c r="C49" s="2274"/>
      <c r="D49" s="612">
        <f>+'Exhibit A'!D49</f>
        <v>1519.4000000000037</v>
      </c>
      <c r="E49" s="9"/>
      <c r="F49" s="9">
        <f>+'Exhibit A'!F49</f>
        <v>41705.4</v>
      </c>
      <c r="G49" s="19"/>
      <c r="H49" s="612">
        <f>+'Exhibit G State'!V112</f>
        <v>53.799999999999727</v>
      </c>
      <c r="I49" s="19"/>
      <c r="J49" s="19">
        <f>+'Exhibit G State'!AD112</f>
        <v>2743.2</v>
      </c>
      <c r="K49" s="1409"/>
      <c r="L49" s="1406">
        <f>+'Exhibit A'!L49</f>
        <v>287.59999999999997</v>
      </c>
      <c r="M49" s="1409"/>
      <c r="N49" s="2344">
        <f>+'Exhibit A'!N49</f>
        <v>1470.6</v>
      </c>
      <c r="O49" s="1409"/>
      <c r="P49" s="2341"/>
      <c r="Q49" s="2355"/>
      <c r="R49" s="18">
        <f>ROUND(SUM(L49+H49+D49),1)</f>
        <v>1860.8</v>
      </c>
      <c r="S49" s="19"/>
      <c r="T49" s="18">
        <f>ROUND(SUM(F49+J49+N49),1)</f>
        <v>45919.199999999997</v>
      </c>
      <c r="U49" s="19"/>
      <c r="V49" s="19"/>
      <c r="W49" s="2280"/>
      <c r="X49" s="19"/>
      <c r="Y49" s="19">
        <v>2534.9</v>
      </c>
      <c r="Z49" s="19" t="s">
        <v>14</v>
      </c>
      <c r="AA49" s="19">
        <f>'Exhibit F'!AF124+'Exhibit F'!AF125+'Exhibit F'!AF126+'Exhibit F'!AF127+'Exhibit G State'!AG112+'Exhibit H'!AD68</f>
        <v>26494.000000000004</v>
      </c>
      <c r="AB49" s="2239"/>
      <c r="AC49" s="2335"/>
      <c r="AD49" s="19">
        <f>ROUND(SUM(T49-AA49),1)</f>
        <v>19425.2</v>
      </c>
      <c r="AE49" s="2276"/>
      <c r="AF49" s="1410">
        <f>ROUND(SUM(+AD49/AA49),3)</f>
        <v>0.73299999999999998</v>
      </c>
      <c r="AG49" s="2213" t="s">
        <v>14</v>
      </c>
    </row>
    <row r="50" spans="1:33" ht="18" customHeight="1">
      <c r="A50" s="2274" t="s">
        <v>47</v>
      </c>
      <c r="B50" s="2354" t="s">
        <v>1151</v>
      </c>
      <c r="C50" s="2274"/>
      <c r="D50" s="612">
        <f>+'Exhibit A'!D50</f>
        <v>-531.099999999999</v>
      </c>
      <c r="E50" s="19"/>
      <c r="F50" s="9">
        <f>+'Exhibit A'!F50</f>
        <v>-7256.9</v>
      </c>
      <c r="G50" s="19"/>
      <c r="H50" s="612">
        <f>+'Exhibit G State'!V113</f>
        <v>-48.299999999999969</v>
      </c>
      <c r="I50" s="19"/>
      <c r="J50" s="3327">
        <f>'Exhibit G State'!AD113</f>
        <v>-254.2</v>
      </c>
      <c r="K50" s="19"/>
      <c r="L50" s="1406">
        <f>+'Exhibit A'!L50</f>
        <v>-1490.7999999999975</v>
      </c>
      <c r="M50" s="1409"/>
      <c r="N50" s="2344">
        <f>+'Exhibit A'!N50</f>
        <v>-41282.699999999997</v>
      </c>
      <c r="O50" s="1409"/>
      <c r="P50" s="2341"/>
      <c r="Q50" s="2355"/>
      <c r="R50" s="3327">
        <f>ROUND(SUM(D50+H50+L50),1)</f>
        <v>-2070.1999999999998</v>
      </c>
      <c r="S50" s="1409"/>
      <c r="T50" s="19">
        <f>ROUND(SUM(F50+J50+N50),1)</f>
        <v>-48793.8</v>
      </c>
      <c r="U50" s="19"/>
      <c r="V50" s="19"/>
      <c r="W50" s="2280"/>
      <c r="X50" s="1409"/>
      <c r="Y50" s="19">
        <v>-2815.5</v>
      </c>
      <c r="Z50" s="19" t="s">
        <v>14</v>
      </c>
      <c r="AA50" s="19">
        <f>'Exhibit F'!AF128+'Exhibit F'!AF129+'Exhibit F'!AF130+'Exhibit F'!AF131+'Exhibit G State'!AG113+'Exhibit H'!AD69</f>
        <v>-27065.5</v>
      </c>
      <c r="AB50" s="2239"/>
      <c r="AC50" s="2335"/>
      <c r="AD50" s="19">
        <f>-ROUND(SUM(T50-AA50),1)</f>
        <v>21728.3</v>
      </c>
      <c r="AE50" s="2211"/>
      <c r="AF50" s="2356">
        <f>ROUND(SUM(-AD50/AA50),3)</f>
        <v>0.80300000000000005</v>
      </c>
      <c r="AG50" s="2213" t="s">
        <v>14</v>
      </c>
    </row>
    <row r="51" spans="1:33" ht="18" customHeight="1">
      <c r="A51" s="2228" t="s">
        <v>48</v>
      </c>
      <c r="B51" s="2228"/>
      <c r="C51" s="2229"/>
      <c r="D51" s="12">
        <f>ROUND(SUM(D49:D50),1)</f>
        <v>988.3</v>
      </c>
      <c r="E51" s="1351"/>
      <c r="F51" s="12">
        <f>ROUND(SUM(F49:F50),1)</f>
        <v>34448.5</v>
      </c>
      <c r="G51" s="1351"/>
      <c r="H51" s="1539">
        <f>ROUND(SUM(H49:H50),1)</f>
        <v>5.5</v>
      </c>
      <c r="I51" s="20"/>
      <c r="J51" s="1539">
        <f>ROUND(SUM(J49:J50),1)</f>
        <v>2489</v>
      </c>
      <c r="K51" s="20"/>
      <c r="L51" s="1539">
        <f>ROUND(SUM(L49:L50),1)</f>
        <v>-1203.2</v>
      </c>
      <c r="M51" s="20"/>
      <c r="N51" s="1539">
        <f>ROUND(SUM(N49:N50),1)</f>
        <v>-39812.1</v>
      </c>
      <c r="O51" s="1462"/>
      <c r="P51" s="2345"/>
      <c r="Q51" s="3705"/>
      <c r="R51" s="1539">
        <f>ROUND(SUM(R49:R50),1)</f>
        <v>-209.4</v>
      </c>
      <c r="S51" s="1462"/>
      <c r="T51" s="1539">
        <f>ROUND(SUM(T49:T50),1)</f>
        <v>-2874.6</v>
      </c>
      <c r="U51" s="1462"/>
      <c r="V51" s="1462"/>
      <c r="W51" s="2284"/>
      <c r="X51" s="1462"/>
      <c r="Y51" s="3365">
        <f>ROUND(SUM(+Y49+Y50),1)</f>
        <v>-280.60000000000002</v>
      </c>
      <c r="Z51" s="20"/>
      <c r="AA51" s="2282">
        <f>ROUND(SUM(+AA49+AA50),1)</f>
        <v>-571.5</v>
      </c>
      <c r="AB51" s="2285"/>
      <c r="AC51" s="2346"/>
      <c r="AD51" s="2282">
        <f>ROUND(SUM(AD49-AD50),1)</f>
        <v>-2303.1</v>
      </c>
      <c r="AE51" s="2260"/>
      <c r="AF51" s="1412">
        <f>ROUND(SUM(AD51/ABS(AA51)),3)</f>
        <v>-4.03</v>
      </c>
      <c r="AG51" s="2213" t="s">
        <v>14</v>
      </c>
    </row>
    <row r="52" spans="1:33" ht="16.350000000000001" customHeight="1">
      <c r="A52" s="2229"/>
      <c r="B52" s="2229"/>
      <c r="C52" s="2229"/>
      <c r="D52" s="609"/>
      <c r="E52" s="9"/>
      <c r="F52" s="14"/>
      <c r="G52" s="9"/>
      <c r="H52" s="1406"/>
      <c r="I52" s="19"/>
      <c r="J52" s="1409"/>
      <c r="K52" s="19"/>
      <c r="L52" s="1406"/>
      <c r="M52" s="19"/>
      <c r="N52" s="1409"/>
      <c r="O52" s="1409"/>
      <c r="P52" s="2341"/>
      <c r="Q52" s="2355"/>
      <c r="R52" s="1409"/>
      <c r="S52" s="1409"/>
      <c r="T52" s="1409"/>
      <c r="U52" s="1409"/>
      <c r="V52" s="1409"/>
      <c r="W52" s="2280"/>
      <c r="X52" s="1409"/>
      <c r="Y52" s="1409"/>
      <c r="Z52" s="19"/>
      <c r="AA52" s="1409"/>
      <c r="AB52" s="2239"/>
      <c r="AC52" s="2335"/>
      <c r="AD52" s="1409"/>
      <c r="AE52" s="2211"/>
      <c r="AF52" s="1413"/>
    </row>
    <row r="53" spans="1:33" ht="18" customHeight="1">
      <c r="A53" s="2227" t="s">
        <v>43</v>
      </c>
      <c r="B53" s="2228"/>
      <c r="C53" s="2229"/>
      <c r="D53" s="608"/>
      <c r="E53" s="9"/>
      <c r="F53" s="9"/>
      <c r="G53" s="9"/>
      <c r="H53" s="612"/>
      <c r="I53" s="19"/>
      <c r="J53" s="19"/>
      <c r="K53" s="19"/>
      <c r="L53" s="612"/>
      <c r="M53" s="19"/>
      <c r="N53" s="19"/>
      <c r="O53" s="1409"/>
      <c r="P53" s="2341"/>
      <c r="Q53" s="2355"/>
      <c r="R53" s="19"/>
      <c r="S53" s="19"/>
      <c r="T53" s="19"/>
      <c r="U53" s="19"/>
      <c r="V53" s="19"/>
      <c r="W53" s="2280"/>
      <c r="X53" s="19"/>
      <c r="Y53" s="19"/>
      <c r="Z53" s="19"/>
      <c r="AA53" s="19"/>
      <c r="AB53" s="2239"/>
      <c r="AC53" s="2335"/>
      <c r="AD53" s="19"/>
      <c r="AE53" s="2211"/>
      <c r="AF53" s="1414"/>
    </row>
    <row r="54" spans="1:33" ht="18" customHeight="1">
      <c r="A54" s="2227" t="s">
        <v>57</v>
      </c>
      <c r="B54" s="2227"/>
      <c r="C54" s="2274"/>
      <c r="D54" s="612"/>
      <c r="E54" s="9"/>
      <c r="F54" s="9"/>
      <c r="G54" s="9"/>
      <c r="H54" s="612"/>
      <c r="I54" s="19"/>
      <c r="J54" s="19"/>
      <c r="K54" s="19"/>
      <c r="L54" s="612"/>
      <c r="M54" s="19"/>
      <c r="N54" s="19"/>
      <c r="O54" s="1409"/>
      <c r="P54" s="2341"/>
      <c r="Q54" s="2355"/>
      <c r="R54" s="19"/>
      <c r="S54" s="19"/>
      <c r="T54" s="19"/>
      <c r="U54" s="19"/>
      <c r="V54" s="19"/>
      <c r="W54" s="2280"/>
      <c r="X54" s="19"/>
      <c r="Y54" s="19" t="s">
        <v>14</v>
      </c>
      <c r="Z54" s="19"/>
      <c r="AA54" s="19"/>
      <c r="AB54" s="2239"/>
      <c r="AC54" s="2335"/>
      <c r="AD54" s="19"/>
      <c r="AE54" s="2211"/>
      <c r="AF54" s="1413"/>
    </row>
    <row r="55" spans="1:33" ht="18" customHeight="1">
      <c r="A55" s="2227" t="s">
        <v>58</v>
      </c>
      <c r="B55" s="2227"/>
      <c r="C55" s="2274"/>
      <c r="D55" s="20">
        <f>ROUND(SUM(D46+D51),1)</f>
        <v>1347.8</v>
      </c>
      <c r="E55" s="20"/>
      <c r="F55" s="20">
        <f>ROUND(SUM(F46)+SUM(F51),1)</f>
        <v>22846.7</v>
      </c>
      <c r="G55" s="20"/>
      <c r="H55" s="20">
        <f>ROUND(SUM(H46+H51),1)</f>
        <v>376.2</v>
      </c>
      <c r="I55" s="20"/>
      <c r="J55" s="20">
        <f>ROUND(SUM(J46)+SUM(J51),1)</f>
        <v>1293.2</v>
      </c>
      <c r="K55" s="20"/>
      <c r="L55" s="20">
        <f>ROUND(SUM(L46+L51),1)</f>
        <v>5714</v>
      </c>
      <c r="M55" s="2357"/>
      <c r="N55" s="2357">
        <f>ROUND(SUM(N46+N51),1)</f>
        <v>5992.2</v>
      </c>
      <c r="O55" s="2345"/>
      <c r="P55" s="2345"/>
      <c r="Q55" s="2358"/>
      <c r="R55" s="2357">
        <f>ROUND(SUM(+R46+R51),1)</f>
        <v>7438</v>
      </c>
      <c r="S55" s="2357"/>
      <c r="T55" s="2357">
        <f>ROUND(SUM(T46+T51),1)</f>
        <v>30132.1</v>
      </c>
      <c r="U55" s="2357"/>
      <c r="V55" s="2357"/>
      <c r="W55" s="2359"/>
      <c r="X55" s="2357"/>
      <c r="Y55" s="20">
        <f>ROUND(SUM(Y46)+SUM(Y51),1)</f>
        <v>6817</v>
      </c>
      <c r="Z55" s="20"/>
      <c r="AA55" s="20">
        <f>ROUND(SUM(AA46)+SUM(AA51),1)</f>
        <v>17438.2</v>
      </c>
      <c r="AB55" s="2285"/>
      <c r="AC55" s="2346"/>
      <c r="AD55" s="1462">
        <f>ROUND(SUM(+AD46+AD51),1)</f>
        <v>12693.9</v>
      </c>
      <c r="AE55" s="2260"/>
      <c r="AF55" s="1474">
        <f>ROUND(SUM(AD55/AA55),3)</f>
        <v>0.72799999999999998</v>
      </c>
    </row>
    <row r="56" spans="1:33" ht="16.350000000000001" customHeight="1">
      <c r="A56" s="2228"/>
      <c r="B56" s="2228"/>
      <c r="C56" s="2229"/>
      <c r="D56" s="608"/>
      <c r="E56" s="9"/>
      <c r="F56" s="14"/>
      <c r="G56" s="9"/>
      <c r="H56" s="612"/>
      <c r="I56" s="19"/>
      <c r="J56" s="19"/>
      <c r="K56" s="19"/>
      <c r="L56" s="612"/>
      <c r="M56" s="19"/>
      <c r="N56" s="19"/>
      <c r="O56" s="1409"/>
      <c r="P56" s="2341"/>
      <c r="Q56" s="2355"/>
      <c r="R56" s="19"/>
      <c r="S56" s="19"/>
      <c r="T56" s="19"/>
      <c r="U56" s="19"/>
      <c r="V56" s="19"/>
      <c r="W56" s="2280"/>
      <c r="X56" s="19"/>
      <c r="Y56" s="19"/>
      <c r="Z56" s="19"/>
      <c r="AA56" s="19"/>
      <c r="AB56" s="2239"/>
      <c r="AC56" s="2335"/>
      <c r="AD56" s="19"/>
      <c r="AE56" s="2211"/>
      <c r="AF56" s="1413"/>
    </row>
    <row r="57" spans="1:33" ht="18" customHeight="1">
      <c r="A57" s="2360" t="s">
        <v>51</v>
      </c>
      <c r="B57" s="2266" t="s">
        <v>1468</v>
      </c>
      <c r="C57" s="2229"/>
      <c r="D57" s="17">
        <f>+'Exhibit A'!D57</f>
        <v>30659.7</v>
      </c>
      <c r="E57" s="1351"/>
      <c r="F57" s="17">
        <f>'Exhibit A'!F57</f>
        <v>9160.7999999999993</v>
      </c>
      <c r="G57" s="1351"/>
      <c r="H57" s="1631">
        <f>+'Exhibit G State'!V13</f>
        <v>6625.6</v>
      </c>
      <c r="I57" s="20"/>
      <c r="J57" s="1631">
        <f>'Exhibit G State'!D13</f>
        <v>5708.6</v>
      </c>
      <c r="K57" s="20"/>
      <c r="L57" s="1631">
        <f>+'Exhibit A'!L57</f>
        <v>343.2</v>
      </c>
      <c r="M57" s="1462"/>
      <c r="N57" s="3704">
        <f>+'Exhibit A'!N57</f>
        <v>65</v>
      </c>
      <c r="O57" s="1462"/>
      <c r="P57" s="2345"/>
      <c r="Q57" s="3705"/>
      <c r="R57" s="1631">
        <f>ROUND(SUM(D57+H57+L57),1)</f>
        <v>37628.5</v>
      </c>
      <c r="S57" s="1462"/>
      <c r="T57" s="1631">
        <f>ROUND(SUM(F57+J57+N57),1)</f>
        <v>14934.4</v>
      </c>
      <c r="U57" s="1462"/>
      <c r="V57" s="1462"/>
      <c r="W57" s="2284"/>
      <c r="X57" s="1462"/>
      <c r="Y57" s="1631">
        <v>25029.5</v>
      </c>
      <c r="Z57" s="20" t="s">
        <v>14</v>
      </c>
      <c r="AA57" s="1631">
        <f>'Exhibit F'!AF12+'Exhibit G State'!AG13+'Exhibit H'!AD12</f>
        <v>14408.300000000001</v>
      </c>
      <c r="AB57" s="2285"/>
      <c r="AC57" s="2346"/>
      <c r="AD57" s="1631">
        <f>ROUND(SUM(T57-AA57),1)</f>
        <v>526.1</v>
      </c>
      <c r="AE57" s="2260"/>
      <c r="AF57" s="2287">
        <f>ROUND(+AD57/AA57,3)</f>
        <v>3.6999999999999998E-2</v>
      </c>
    </row>
    <row r="58" spans="1:33" ht="16.350000000000001" customHeight="1">
      <c r="A58" s="2274"/>
      <c r="B58" s="2229"/>
      <c r="C58" s="2229"/>
      <c r="D58" s="2361"/>
      <c r="E58" s="2229"/>
      <c r="F58" s="7"/>
      <c r="G58" s="2229"/>
      <c r="H58" s="2361"/>
      <c r="I58" s="2274"/>
      <c r="J58" s="2239"/>
      <c r="K58" s="2274"/>
      <c r="L58" s="2361"/>
      <c r="M58" s="2274"/>
      <c r="N58" s="2239"/>
      <c r="O58" s="2239"/>
      <c r="P58" s="2332"/>
      <c r="Q58" s="3929"/>
      <c r="R58" s="2239"/>
      <c r="S58" s="2239"/>
      <c r="T58" s="2239"/>
      <c r="U58" s="2239"/>
      <c r="V58" s="2239"/>
      <c r="W58" s="2334"/>
      <c r="X58" s="2239"/>
      <c r="Y58" s="2239"/>
      <c r="Z58" s="2274"/>
      <c r="AA58" s="2239"/>
      <c r="AB58" s="2239"/>
      <c r="AC58" s="2335"/>
      <c r="AD58" s="1409"/>
      <c r="AE58" s="2211"/>
      <c r="AF58" s="1413"/>
    </row>
    <row r="59" spans="1:33" ht="18" customHeight="1" thickBot="1">
      <c r="A59" s="2362" t="s">
        <v>59</v>
      </c>
      <c r="B59" s="2363" t="s">
        <v>14</v>
      </c>
      <c r="C59" s="2229"/>
      <c r="D59" s="22">
        <f>ROUND(SUM(D55+D57),1)</f>
        <v>32007.5</v>
      </c>
      <c r="E59" s="2290"/>
      <c r="F59" s="22">
        <f>ROUND(SUM(F55+F57),1)</f>
        <v>32007.5</v>
      </c>
      <c r="G59" s="2290"/>
      <c r="H59" s="22">
        <f>ROUND(SUM(H55+H57),1)</f>
        <v>7001.8</v>
      </c>
      <c r="I59" s="2290"/>
      <c r="J59" s="22">
        <f>ROUND(SUM(J55)+SUM(J57),1)</f>
        <v>7001.8</v>
      </c>
      <c r="K59" s="2290"/>
      <c r="L59" s="22">
        <f>ROUND(SUM(L55+L57),1)</f>
        <v>6057.2</v>
      </c>
      <c r="M59" s="2364"/>
      <c r="N59" s="2365">
        <f>ROUND(SUM(N55+N57),1)</f>
        <v>6057.2</v>
      </c>
      <c r="O59" s="2366"/>
      <c r="P59" s="2366"/>
      <c r="Q59" s="2367"/>
      <c r="R59" s="2365">
        <f>ROUND(SUM(R55+R57),1)</f>
        <v>45066.5</v>
      </c>
      <c r="S59" s="2366"/>
      <c r="T59" s="2365">
        <f>ROUND(SUM(T55+T57),1)</f>
        <v>45066.5</v>
      </c>
      <c r="U59" s="2366"/>
      <c r="V59" s="2366"/>
      <c r="W59" s="2368"/>
      <c r="X59" s="2366"/>
      <c r="Y59" s="22">
        <f>ROUND(SUM(Y55+Y57),1)</f>
        <v>31846.5</v>
      </c>
      <c r="Z59" s="2290"/>
      <c r="AA59" s="22">
        <f>ROUND(SUM(AA55+AA57),1)</f>
        <v>31846.5</v>
      </c>
      <c r="AB59" s="2295"/>
      <c r="AC59" s="2369"/>
      <c r="AD59" s="22">
        <f>ROUND(SUM(AD55+AD57),1)</f>
        <v>13220</v>
      </c>
      <c r="AE59" s="2260"/>
      <c r="AF59" s="2294">
        <f>ROUND(+AD59/AA59,3)</f>
        <v>0.41499999999999998</v>
      </c>
      <c r="AG59" s="2213" t="s">
        <v>14</v>
      </c>
    </row>
    <row r="60" spans="1:33" ht="15.6" thickTop="1">
      <c r="A60" s="2296"/>
      <c r="B60" s="2296"/>
      <c r="C60" s="2296"/>
      <c r="D60" s="2297"/>
      <c r="E60" s="2297"/>
      <c r="F60" s="2297"/>
      <c r="G60" s="2297"/>
      <c r="H60" s="2298"/>
      <c r="I60" s="2299"/>
      <c r="J60" s="2299"/>
      <c r="K60" s="2299"/>
      <c r="L60" s="2299"/>
      <c r="M60" s="2299"/>
      <c r="N60" s="2299"/>
      <c r="O60" s="2299"/>
      <c r="P60" s="2370"/>
      <c r="Q60" s="2299"/>
      <c r="R60" s="2299"/>
      <c r="S60" s="2299"/>
      <c r="T60" s="2299"/>
      <c r="U60" s="2299"/>
      <c r="V60" s="2299"/>
      <c r="W60" s="2299"/>
      <c r="X60" s="2299"/>
      <c r="Y60" s="2299"/>
      <c r="Z60" s="2299"/>
      <c r="AA60" s="2299"/>
      <c r="AB60" s="2299"/>
      <c r="AC60" s="2299"/>
      <c r="AD60" s="2299"/>
      <c r="AE60" s="2211"/>
      <c r="AF60" s="2300"/>
    </row>
    <row r="61" spans="1:33">
      <c r="A61" s="2276"/>
      <c r="B61" s="2276"/>
      <c r="C61" s="2276"/>
      <c r="D61" s="2276"/>
      <c r="E61" s="2276"/>
      <c r="F61" s="2276"/>
      <c r="G61" s="2276"/>
      <c r="H61" s="2302" t="s">
        <v>14</v>
      </c>
      <c r="I61" s="2276"/>
      <c r="J61" s="2276"/>
      <c r="K61" s="2276"/>
      <c r="L61" s="2276"/>
      <c r="M61" s="2276"/>
      <c r="N61" s="2276"/>
      <c r="O61" s="2276"/>
      <c r="P61" s="2276"/>
      <c r="Q61" s="2276" t="s">
        <v>14</v>
      </c>
      <c r="R61" s="2276" t="s">
        <v>14</v>
      </c>
      <c r="S61" s="2276"/>
      <c r="T61" s="2312"/>
      <c r="U61" s="2312"/>
      <c r="V61" s="2312"/>
      <c r="W61" s="2312"/>
      <c r="X61" s="2312"/>
      <c r="Y61" s="2312"/>
      <c r="Z61" s="2312"/>
      <c r="AA61" s="2312"/>
      <c r="AB61" s="2312"/>
    </row>
    <row r="62" spans="1:33" ht="18" customHeight="1">
      <c r="A62" s="2233" t="s">
        <v>1100</v>
      </c>
      <c r="B62" s="2276"/>
      <c r="C62" s="2276"/>
      <c r="D62" s="2276"/>
      <c r="E62" s="2276"/>
      <c r="F62" s="2276"/>
      <c r="G62" s="2276"/>
      <c r="H62" s="2302"/>
      <c r="I62" s="2276"/>
      <c r="J62" s="2276"/>
      <c r="K62" s="2276"/>
      <c r="L62" s="2276"/>
      <c r="M62" s="2276"/>
      <c r="N62" s="2276"/>
      <c r="O62" s="2276"/>
      <c r="P62" s="2276"/>
      <c r="Q62" s="2276"/>
      <c r="R62" s="2276"/>
      <c r="S62" s="2276"/>
      <c r="T62" s="2312"/>
      <c r="U62" s="2312"/>
      <c r="V62" s="2312"/>
      <c r="W62" s="2312"/>
      <c r="X62" s="2312"/>
      <c r="Y62" s="2312"/>
      <c r="Z62" s="2312"/>
      <c r="AA62" s="2312" t="s">
        <v>14</v>
      </c>
      <c r="AB62" s="2312"/>
    </row>
    <row r="63" spans="1:33" ht="18" customHeight="1">
      <c r="A63" s="2371" t="s">
        <v>1099</v>
      </c>
      <c r="B63" s="2276"/>
      <c r="C63" s="2276"/>
      <c r="D63" s="2276"/>
      <c r="E63" s="2276"/>
      <c r="F63" s="2276"/>
      <c r="G63" s="2276"/>
      <c r="H63" s="2302"/>
      <c r="I63" s="2276"/>
      <c r="J63" s="2276"/>
      <c r="K63" s="2276"/>
      <c r="L63" s="2276"/>
      <c r="M63" s="2276"/>
      <c r="N63" s="2276"/>
      <c r="O63" s="2276"/>
      <c r="P63" s="2276"/>
      <c r="Q63" s="2276"/>
      <c r="R63" s="2276"/>
      <c r="S63" s="2276"/>
      <c r="T63" s="2312"/>
      <c r="U63" s="2312"/>
      <c r="V63" s="2312"/>
      <c r="W63" s="2312"/>
      <c r="X63" s="2312"/>
      <c r="Y63" s="2312"/>
      <c r="Z63" s="2312"/>
      <c r="AA63" s="2312"/>
      <c r="AB63" s="2312"/>
    </row>
    <row r="64" spans="1:33" ht="15">
      <c r="A64" s="2331"/>
      <c r="B64" s="2276"/>
      <c r="C64" s="2276"/>
      <c r="D64" s="2276"/>
      <c r="E64" s="2276"/>
      <c r="F64" s="2276"/>
      <c r="G64" s="2276"/>
      <c r="H64" s="2302"/>
      <c r="I64" s="2276"/>
      <c r="J64" s="2276"/>
      <c r="K64" s="2276"/>
      <c r="L64" s="2276"/>
      <c r="M64" s="2276"/>
      <c r="N64" s="2276"/>
      <c r="O64" s="2276"/>
      <c r="P64" s="2276"/>
      <c r="Q64" s="2276"/>
      <c r="R64" s="2276"/>
      <c r="S64" s="2276"/>
      <c r="T64" s="2312"/>
      <c r="U64" s="2312"/>
      <c r="V64" s="2312"/>
      <c r="W64" s="2312"/>
      <c r="X64" s="2312"/>
      <c r="Y64" s="612" t="s">
        <v>14</v>
      </c>
      <c r="Z64" s="2312"/>
      <c r="AA64" s="2312" t="s">
        <v>14</v>
      </c>
      <c r="AB64" s="2312"/>
    </row>
    <row r="65" spans="1:28" ht="15.6">
      <c r="A65" s="2307"/>
      <c r="B65" s="2308"/>
      <c r="C65" s="2301"/>
      <c r="D65" s="2310"/>
      <c r="E65" s="2310"/>
      <c r="F65" s="2310"/>
      <c r="G65" s="2310"/>
      <c r="H65" s="2309"/>
      <c r="I65" s="2310"/>
      <c r="J65" s="2310"/>
      <c r="K65" s="2310"/>
      <c r="L65" s="2310"/>
      <c r="M65" s="2276"/>
      <c r="N65" s="2276"/>
      <c r="O65" s="2276"/>
      <c r="P65" s="2276"/>
      <c r="Q65" s="2276"/>
      <c r="R65" s="2276"/>
      <c r="S65" s="2276"/>
      <c r="T65" s="2312"/>
      <c r="U65" s="2312"/>
      <c r="V65" s="2312"/>
      <c r="W65" s="2312"/>
      <c r="X65" s="2312"/>
      <c r="Y65" s="612" t="s">
        <v>14</v>
      </c>
      <c r="Z65" s="2312"/>
      <c r="AA65" s="2312"/>
      <c r="AB65" s="2312"/>
    </row>
    <row r="66" spans="1:28" ht="15">
      <c r="A66" s="1413"/>
      <c r="B66" s="1413"/>
      <c r="C66" s="1413"/>
      <c r="D66" s="2233"/>
      <c r="E66" s="1413"/>
      <c r="F66" s="1413"/>
      <c r="G66" s="1413"/>
      <c r="H66" s="2311"/>
      <c r="I66" s="1413"/>
      <c r="J66" s="1413"/>
      <c r="K66" s="1413"/>
      <c r="L66" s="2233"/>
      <c r="M66" s="2276"/>
      <c r="N66" s="2276"/>
      <c r="O66" s="2276"/>
      <c r="P66" s="2276"/>
      <c r="Q66" s="2276"/>
      <c r="R66" s="2276"/>
      <c r="S66" s="2276"/>
      <c r="T66" s="2312"/>
      <c r="U66" s="2312"/>
      <c r="V66" s="2312"/>
      <c r="W66" s="2312"/>
      <c r="X66" s="2312"/>
      <c r="Y66" s="2312"/>
      <c r="Z66" s="2312"/>
      <c r="AA66" s="2312"/>
      <c r="AB66" s="2312"/>
    </row>
    <row r="67" spans="1:28" ht="15">
      <c r="A67" s="1413"/>
      <c r="B67" s="1413"/>
      <c r="C67" s="1413"/>
      <c r="D67" s="2233"/>
      <c r="E67" s="1413"/>
      <c r="F67" s="1413"/>
      <c r="G67" s="1413"/>
      <c r="H67" s="2311"/>
      <c r="I67" s="1413"/>
      <c r="J67" s="1413"/>
      <c r="K67" s="1413"/>
      <c r="L67" s="2233"/>
      <c r="M67" s="2276"/>
      <c r="N67" s="2276"/>
      <c r="O67" s="2276"/>
      <c r="P67" s="2276"/>
      <c r="Q67" s="2276"/>
      <c r="R67" s="2276"/>
      <c r="S67" s="2276"/>
      <c r="T67" s="2312"/>
      <c r="U67" s="2312"/>
      <c r="V67" s="2312"/>
      <c r="W67" s="2312"/>
      <c r="X67" s="2312"/>
      <c r="Y67" s="2312"/>
      <c r="Z67" s="2312"/>
      <c r="AA67" s="2312"/>
      <c r="AB67" s="2312"/>
    </row>
    <row r="68" spans="1:28" ht="15">
      <c r="A68" s="1413"/>
      <c r="B68" s="1413"/>
      <c r="C68" s="1413"/>
      <c r="D68" s="2233"/>
      <c r="E68" s="1413"/>
      <c r="F68" s="1413"/>
      <c r="G68" s="1413"/>
      <c r="H68" s="2311"/>
      <c r="I68" s="1413"/>
      <c r="J68" s="1413"/>
      <c r="K68" s="1413"/>
      <c r="L68" s="2233"/>
      <c r="M68" s="2276"/>
      <c r="N68" s="2276"/>
      <c r="O68" s="2276"/>
      <c r="P68" s="2276"/>
      <c r="Q68" s="2276"/>
      <c r="R68" s="2276"/>
      <c r="S68" s="2276"/>
      <c r="T68" s="2312"/>
      <c r="U68" s="2312"/>
      <c r="V68" s="2312"/>
      <c r="W68" s="2312"/>
      <c r="X68" s="2312"/>
      <c r="Y68" s="2312"/>
      <c r="Z68" s="2312"/>
      <c r="AA68" s="2312"/>
      <c r="AB68" s="2312"/>
    </row>
    <row r="69" spans="1:28" ht="19.5" customHeight="1">
      <c r="A69" s="2218"/>
      <c r="I69" s="1413"/>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 B57" numberStoredAsText="1"/>
    <ignoredError sqref="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81640625" defaultRowHeight="15.6"/>
  <cols>
    <col min="1" max="1" width="3.54296875" style="1477" customWidth="1"/>
    <col min="2" max="2" width="8.453125" style="1478" customWidth="1"/>
    <col min="3" max="3" width="12.08984375" style="1478" customWidth="1"/>
    <col min="4" max="4" width="15" style="1479" customWidth="1"/>
    <col min="5" max="5" width="15.08984375" style="1476" customWidth="1"/>
    <col min="6" max="6" width="10.453125" style="1477" customWidth="1"/>
    <col min="7" max="7" width="10.08984375" style="1477" customWidth="1"/>
    <col min="8" max="8" width="9.08984375" style="1535" customWidth="1"/>
    <col min="9" max="9" width="5.54296875" style="1475" customWidth="1"/>
    <col min="10" max="10" width="9.08984375" style="1475" customWidth="1"/>
    <col min="11" max="11" width="8.08984375" style="1476" customWidth="1"/>
    <col min="12" max="12" width="16" style="1476" customWidth="1"/>
    <col min="13" max="13" width="12.08984375" style="1476" customWidth="1"/>
    <col min="14" max="14" width="7.81640625" style="1476" customWidth="1"/>
    <col min="15" max="15" width="18.81640625" style="1537" customWidth="1"/>
    <col min="16" max="16" width="4.81640625" style="1537" customWidth="1"/>
    <col min="17" max="17" width="8" style="1537" customWidth="1"/>
    <col min="18" max="18" width="3.81640625" style="1537" customWidth="1"/>
    <col min="19" max="19" width="13.08984375" style="1537" customWidth="1"/>
    <col min="20" max="21" width="12.08984375" style="1537" customWidth="1"/>
    <col min="22" max="16384" width="8.81640625" style="1537"/>
  </cols>
  <sheetData>
    <row r="1" spans="1:20">
      <c r="A1" s="635" t="s">
        <v>881</v>
      </c>
    </row>
    <row r="2" spans="1:20">
      <c r="A2" s="543" t="s">
        <v>704</v>
      </c>
      <c r="B2" s="544"/>
      <c r="C2" s="545"/>
      <c r="D2" s="546"/>
      <c r="E2" s="1535"/>
      <c r="F2" s="1535"/>
      <c r="G2" s="1535"/>
      <c r="I2" s="547"/>
      <c r="J2" s="547"/>
      <c r="K2" s="1535"/>
      <c r="L2" s="1535"/>
      <c r="M2" s="1535"/>
      <c r="N2" s="548"/>
      <c r="O2" s="872" t="s">
        <v>877</v>
      </c>
      <c r="Q2" s="550"/>
      <c r="R2" s="550"/>
      <c r="S2" s="551"/>
      <c r="T2" s="552"/>
    </row>
    <row r="3" spans="1:20" ht="13.35" customHeight="1">
      <c r="A3" s="544"/>
      <c r="B3" s="544"/>
      <c r="C3" s="545"/>
      <c r="D3" s="546"/>
      <c r="E3" s="1535"/>
      <c r="F3" s="1535"/>
      <c r="G3" s="1535"/>
      <c r="I3" s="1478"/>
      <c r="J3" s="1478"/>
      <c r="K3" s="1479"/>
      <c r="M3" s="1477"/>
      <c r="N3" s="1477"/>
      <c r="O3" s="873" t="s">
        <v>1570</v>
      </c>
      <c r="T3" s="552"/>
    </row>
    <row r="4" spans="1:20" ht="9" customHeight="1">
      <c r="B4" s="1603"/>
      <c r="C4" s="1603"/>
      <c r="D4" s="1598"/>
      <c r="E4" s="1599"/>
      <c r="F4" s="1600"/>
      <c r="G4" s="1600"/>
      <c r="H4" s="560"/>
      <c r="I4" s="657"/>
      <c r="J4" s="657"/>
      <c r="K4" s="1599"/>
      <c r="L4" s="1599"/>
      <c r="M4" s="1599"/>
      <c r="N4" s="1599"/>
      <c r="O4" s="1605"/>
      <c r="P4" s="1605"/>
      <c r="T4" s="552"/>
    </row>
    <row r="5" spans="1:20" ht="13.5" customHeight="1">
      <c r="T5" s="552"/>
    </row>
    <row r="6" spans="1:20" ht="13.5" customHeight="1">
      <c r="A6" s="553" t="s">
        <v>705</v>
      </c>
      <c r="B6" s="1536" t="s">
        <v>706</v>
      </c>
      <c r="C6" s="1536"/>
      <c r="D6" s="1536"/>
      <c r="E6" s="560"/>
      <c r="F6" s="560"/>
      <c r="G6" s="560"/>
      <c r="H6" s="555"/>
      <c r="I6" s="1611"/>
      <c r="J6" s="1627" t="s">
        <v>1373</v>
      </c>
      <c r="K6" s="547"/>
      <c r="L6" s="546"/>
      <c r="M6" s="1535"/>
      <c r="N6" s="1602"/>
      <c r="O6" s="1477"/>
    </row>
    <row r="7" spans="1:20" ht="13.5" customHeight="1">
      <c r="A7" s="553"/>
      <c r="B7" s="1536" t="s">
        <v>707</v>
      </c>
      <c r="C7" s="1536"/>
      <c r="D7" s="1536"/>
      <c r="E7" s="560"/>
      <c r="F7" s="560"/>
      <c r="G7" s="560"/>
      <c r="H7" s="1477"/>
      <c r="J7" s="1536" t="s">
        <v>1597</v>
      </c>
      <c r="K7" s="547"/>
      <c r="L7" s="546"/>
      <c r="M7" s="1535"/>
      <c r="N7" s="1602"/>
      <c r="O7" s="1477"/>
    </row>
    <row r="8" spans="1:20" ht="13.35" customHeight="1">
      <c r="A8" s="553"/>
      <c r="B8" s="1536" t="s">
        <v>708</v>
      </c>
      <c r="C8" s="1536"/>
      <c r="D8" s="1536"/>
      <c r="E8" s="560"/>
      <c r="F8" s="560"/>
      <c r="G8" s="560"/>
      <c r="H8" s="1477"/>
      <c r="J8" s="1536" t="s">
        <v>1560</v>
      </c>
      <c r="K8" s="547"/>
      <c r="L8" s="1479"/>
      <c r="N8" s="1602"/>
      <c r="O8" s="1476"/>
    </row>
    <row r="9" spans="1:20" ht="12.75" customHeight="1">
      <c r="A9" s="553"/>
      <c r="B9" s="1536" t="s">
        <v>709</v>
      </c>
      <c r="C9" s="1536"/>
      <c r="D9" s="1536"/>
      <c r="E9" s="560"/>
      <c r="F9" s="560"/>
      <c r="G9" s="560"/>
      <c r="H9" s="1610"/>
      <c r="J9" s="1536" t="s">
        <v>1598</v>
      </c>
    </row>
    <row r="10" spans="1:20" ht="12.75" customHeight="1">
      <c r="B10" s="1603"/>
      <c r="C10" s="1603"/>
      <c r="D10" s="1598"/>
      <c r="E10" s="1599"/>
      <c r="F10" s="1607"/>
      <c r="G10" s="1600"/>
      <c r="H10" s="560"/>
      <c r="J10" s="2092"/>
      <c r="K10" s="1475"/>
      <c r="O10" s="1476"/>
    </row>
    <row r="11" spans="1:20" ht="12.75" customHeight="1">
      <c r="A11" s="1535"/>
      <c r="B11" s="1536"/>
      <c r="C11" s="1606" t="s">
        <v>755</v>
      </c>
      <c r="D11" s="1601"/>
      <c r="E11" s="560"/>
      <c r="F11" s="1601">
        <v>275</v>
      </c>
      <c r="G11" s="560" t="s">
        <v>710</v>
      </c>
      <c r="H11" s="1612"/>
      <c r="J11" s="2092"/>
      <c r="K11" s="1606"/>
      <c r="L11" s="1601"/>
      <c r="M11" s="560"/>
      <c r="N11" s="1602"/>
      <c r="O11" s="1476"/>
    </row>
    <row r="12" spans="1:20" ht="12.75" customHeight="1">
      <c r="A12" s="1535"/>
      <c r="B12" s="1606"/>
      <c r="C12" s="1606" t="s">
        <v>906</v>
      </c>
      <c r="D12" s="1608"/>
      <c r="E12" s="560"/>
      <c r="F12" s="3831">
        <v>15.2</v>
      </c>
      <c r="G12" s="560"/>
      <c r="H12" s="560"/>
      <c r="J12" s="2092" t="s">
        <v>1363</v>
      </c>
      <c r="K12" s="1475"/>
      <c r="O12" s="1476"/>
    </row>
    <row r="13" spans="1:20" ht="12.75" customHeight="1">
      <c r="A13" s="1535"/>
      <c r="B13" s="1606"/>
      <c r="C13" s="1606" t="s">
        <v>711</v>
      </c>
      <c r="D13" s="1608"/>
      <c r="E13" s="560"/>
      <c r="F13" s="3885">
        <v>443.4</v>
      </c>
      <c r="G13" s="560"/>
      <c r="H13" s="1605"/>
      <c r="K13" s="1475"/>
      <c r="N13" s="1599"/>
      <c r="O13" s="1476"/>
      <c r="T13" s="1535"/>
    </row>
    <row r="14" spans="1:20" ht="12.75" customHeight="1">
      <c r="A14" s="1535"/>
      <c r="B14" s="1606"/>
      <c r="C14" s="1606" t="s">
        <v>712</v>
      </c>
      <c r="D14" s="1608"/>
      <c r="E14" s="560"/>
      <c r="F14" s="3885">
        <v>12.9</v>
      </c>
      <c r="G14" s="1600"/>
      <c r="H14" s="1477"/>
      <c r="K14" s="1606" t="s">
        <v>1486</v>
      </c>
      <c r="N14" s="3520">
        <v>1.4</v>
      </c>
      <c r="O14" s="1535" t="s">
        <v>710</v>
      </c>
      <c r="T14" s="554"/>
    </row>
    <row r="15" spans="1:20" ht="12.75" customHeight="1">
      <c r="A15" s="1535"/>
      <c r="B15" s="1606"/>
      <c r="C15" s="1606" t="s">
        <v>907</v>
      </c>
      <c r="D15" s="1608"/>
      <c r="E15" s="560"/>
      <c r="F15" s="3885">
        <v>510.4</v>
      </c>
      <c r="G15" s="560"/>
      <c r="H15" s="1610"/>
      <c r="K15" s="3918" t="s">
        <v>1554</v>
      </c>
      <c r="N15" s="1604">
        <v>2.2999999999999998</v>
      </c>
      <c r="T15" s="554"/>
    </row>
    <row r="16" spans="1:20" ht="12.75" customHeight="1">
      <c r="A16" s="1535"/>
      <c r="B16" s="1606"/>
      <c r="C16" s="1606" t="s">
        <v>756</v>
      </c>
      <c r="D16" s="1608"/>
      <c r="E16" s="560"/>
      <c r="F16" s="3831">
        <v>660.1</v>
      </c>
      <c r="G16" s="560"/>
      <c r="K16" s="3845" t="s">
        <v>1494</v>
      </c>
      <c r="L16" s="1601"/>
      <c r="M16" s="560"/>
      <c r="N16" s="1602">
        <v>6.1</v>
      </c>
      <c r="R16" s="1535"/>
    </row>
    <row r="17" spans="1:16" ht="12.75" customHeight="1">
      <c r="A17" s="1535"/>
      <c r="B17" s="1606"/>
      <c r="C17" s="1606" t="s">
        <v>713</v>
      </c>
      <c r="D17" s="1609"/>
      <c r="E17" s="560"/>
      <c r="F17" s="3831">
        <v>885.1</v>
      </c>
      <c r="G17" s="560"/>
      <c r="K17" s="1606" t="s">
        <v>1493</v>
      </c>
      <c r="L17" s="1601"/>
      <c r="M17" s="560"/>
      <c r="N17" s="1602">
        <v>6.8</v>
      </c>
    </row>
    <row r="18" spans="1:16" ht="12.75" customHeight="1">
      <c r="A18" s="1535"/>
      <c r="B18" s="1606"/>
      <c r="C18" s="1606" t="s">
        <v>1155</v>
      </c>
      <c r="D18" s="1609"/>
      <c r="E18" s="560"/>
      <c r="F18" s="3885">
        <v>119.9</v>
      </c>
      <c r="G18" s="560"/>
      <c r="H18" s="560"/>
      <c r="K18" s="3918" t="s">
        <v>1559</v>
      </c>
      <c r="N18" s="1604">
        <v>2</v>
      </c>
    </row>
    <row r="19" spans="1:16" ht="12.75" customHeight="1">
      <c r="A19" s="1600"/>
      <c r="B19" s="1603"/>
      <c r="C19" s="1603"/>
      <c r="D19" s="1598"/>
      <c r="E19" s="1599"/>
      <c r="F19" s="1600"/>
      <c r="G19" s="1600"/>
      <c r="K19" s="1606" t="s">
        <v>1495</v>
      </c>
      <c r="L19" s="1601"/>
      <c r="M19" s="560"/>
      <c r="N19" s="1602">
        <v>66.2</v>
      </c>
    </row>
    <row r="20" spans="1:16" ht="13.35" customHeight="1">
      <c r="A20" s="1612" t="s">
        <v>714</v>
      </c>
      <c r="B20" s="1536" t="s">
        <v>888</v>
      </c>
      <c r="C20" s="1536"/>
      <c r="D20" s="1536"/>
      <c r="E20" s="560"/>
      <c r="F20" s="560"/>
      <c r="G20" s="560"/>
      <c r="H20" s="1612"/>
      <c r="K20" s="1606" t="s">
        <v>1500</v>
      </c>
      <c r="L20" s="1601"/>
      <c r="M20" s="560"/>
      <c r="N20" s="1602">
        <v>19.399999999999999</v>
      </c>
    </row>
    <row r="21" spans="1:16" ht="12.75" customHeight="1">
      <c r="A21" s="1612"/>
      <c r="B21" s="1536" t="s">
        <v>1272</v>
      </c>
      <c r="C21" s="1536"/>
      <c r="D21" s="1536"/>
      <c r="E21" s="560"/>
      <c r="F21" s="560"/>
      <c r="G21" s="560"/>
      <c r="K21" s="3845" t="s">
        <v>1485</v>
      </c>
      <c r="L21" s="1601"/>
      <c r="M21" s="560"/>
      <c r="N21" s="1602">
        <v>9.4</v>
      </c>
    </row>
    <row r="22" spans="1:16" ht="14.1" customHeight="1">
      <c r="A22" s="1612"/>
      <c r="B22" s="1536"/>
      <c r="C22" s="1536"/>
      <c r="D22" s="1536"/>
      <c r="E22" s="560"/>
      <c r="F22" s="560"/>
      <c r="G22" s="560"/>
      <c r="K22" s="1606" t="s">
        <v>1487</v>
      </c>
      <c r="L22" s="1601"/>
      <c r="M22" s="560"/>
      <c r="N22" s="1602">
        <v>9.1</v>
      </c>
    </row>
    <row r="23" spans="1:16" ht="12.75" customHeight="1">
      <c r="A23" s="560"/>
      <c r="B23" s="1611" t="s">
        <v>1374</v>
      </c>
      <c r="C23" s="1611"/>
      <c r="D23" s="1536"/>
      <c r="E23" s="560"/>
      <c r="F23" s="560"/>
      <c r="G23" s="560"/>
      <c r="K23" s="1606" t="s">
        <v>1497</v>
      </c>
      <c r="N23" s="1602">
        <v>6.8</v>
      </c>
    </row>
    <row r="24" spans="1:16" ht="12.75" customHeight="1">
      <c r="A24" s="1600"/>
      <c r="B24" s="1603"/>
      <c r="C24" s="1603"/>
      <c r="D24" s="1598"/>
      <c r="E24" s="1599"/>
      <c r="F24" s="1600"/>
      <c r="G24" s="560"/>
      <c r="K24" s="3918" t="s">
        <v>1558</v>
      </c>
      <c r="N24" s="1604">
        <v>1.2</v>
      </c>
    </row>
    <row r="25" spans="1:16" ht="13.35" customHeight="1">
      <c r="A25" s="1600"/>
      <c r="B25" s="1603"/>
      <c r="C25" s="1606" t="s">
        <v>1128</v>
      </c>
      <c r="D25" s="1598"/>
      <c r="E25" s="1599"/>
      <c r="F25" s="1628">
        <v>4405.3</v>
      </c>
      <c r="G25" s="560" t="s">
        <v>710</v>
      </c>
      <c r="K25" s="3842" t="s">
        <v>1462</v>
      </c>
      <c r="L25" s="1601"/>
      <c r="M25" s="560"/>
      <c r="N25" s="1602">
        <v>1</v>
      </c>
    </row>
    <row r="26" spans="1:16" ht="12.75" customHeight="1">
      <c r="A26" s="1600"/>
      <c r="B26" s="1603"/>
      <c r="C26" s="1606" t="s">
        <v>715</v>
      </c>
      <c r="D26" s="1601"/>
      <c r="E26" s="560"/>
      <c r="F26" s="1602">
        <v>365.6</v>
      </c>
      <c r="G26" s="1605"/>
      <c r="H26" s="1477"/>
      <c r="K26" s="3918" t="s">
        <v>1555</v>
      </c>
      <c r="N26" s="1604">
        <v>1.5</v>
      </c>
      <c r="P26" s="560"/>
    </row>
    <row r="27" spans="1:16" ht="12.75" customHeight="1">
      <c r="A27" s="1600"/>
      <c r="B27" s="1603"/>
      <c r="C27" s="1606" t="s">
        <v>1109</v>
      </c>
      <c r="D27" s="1601"/>
      <c r="E27" s="560"/>
      <c r="F27" s="1602">
        <v>32.1</v>
      </c>
      <c r="G27" s="560"/>
      <c r="K27" s="1606" t="s">
        <v>1491</v>
      </c>
      <c r="L27" s="1601"/>
      <c r="M27" s="560"/>
      <c r="N27" s="1602">
        <v>1.6</v>
      </c>
    </row>
    <row r="28" spans="1:16" ht="12.75" customHeight="1">
      <c r="C28" s="1606" t="s">
        <v>1509</v>
      </c>
      <c r="D28" s="1601"/>
      <c r="E28" s="560"/>
      <c r="F28" s="1602">
        <v>8</v>
      </c>
      <c r="H28" s="1612"/>
      <c r="K28" s="1606" t="s">
        <v>1492</v>
      </c>
      <c r="L28" s="1601"/>
      <c r="M28" s="560"/>
      <c r="N28" s="1602">
        <v>5</v>
      </c>
    </row>
    <row r="29" spans="1:16" ht="13.35" customHeight="1">
      <c r="C29" s="1606" t="s">
        <v>1483</v>
      </c>
      <c r="D29" s="1601"/>
      <c r="E29" s="560"/>
      <c r="F29" s="1602">
        <v>30</v>
      </c>
      <c r="K29" s="3918" t="s">
        <v>1556</v>
      </c>
      <c r="N29" s="1604">
        <v>3.6</v>
      </c>
    </row>
    <row r="30" spans="1:16" ht="12.75" customHeight="1">
      <c r="C30" s="1606" t="s">
        <v>1498</v>
      </c>
      <c r="D30" s="1601"/>
      <c r="E30" s="560"/>
      <c r="F30" s="1602">
        <v>11.5</v>
      </c>
      <c r="K30" s="3944" t="s">
        <v>1599</v>
      </c>
      <c r="N30" s="1604">
        <v>37.4</v>
      </c>
    </row>
    <row r="31" spans="1:16" ht="12.75" customHeight="1">
      <c r="C31" s="1606" t="s">
        <v>1481</v>
      </c>
      <c r="D31" s="1601"/>
      <c r="E31" s="560"/>
      <c r="F31" s="1602">
        <v>4.8</v>
      </c>
      <c r="K31" s="1606" t="s">
        <v>1489</v>
      </c>
      <c r="L31" s="1601"/>
      <c r="M31" s="560"/>
      <c r="N31" s="1602">
        <v>8.9</v>
      </c>
      <c r="O31" s="1535"/>
    </row>
    <row r="32" spans="1:16" ht="12.75" customHeight="1">
      <c r="C32" s="3842" t="s">
        <v>1269</v>
      </c>
      <c r="D32" s="1601"/>
      <c r="E32" s="560"/>
      <c r="F32" s="1602">
        <v>93.4</v>
      </c>
      <c r="I32" s="1478"/>
      <c r="K32" s="1606" t="s">
        <v>1490</v>
      </c>
      <c r="L32" s="1601"/>
      <c r="M32" s="560"/>
      <c r="N32" s="1602">
        <v>3.4</v>
      </c>
    </row>
    <row r="33" spans="3:20" ht="12.75" customHeight="1">
      <c r="C33" s="1606" t="s">
        <v>1479</v>
      </c>
      <c r="D33" s="1601"/>
      <c r="E33" s="560"/>
      <c r="F33" s="1602">
        <v>49.5</v>
      </c>
      <c r="K33" s="3842" t="s">
        <v>1364</v>
      </c>
      <c r="L33" s="1601"/>
      <c r="M33" s="560"/>
      <c r="N33" s="1602">
        <v>21.7</v>
      </c>
      <c r="O33" s="1476"/>
    </row>
    <row r="34" spans="3:20" ht="13.35" customHeight="1">
      <c r="C34" s="1606" t="s">
        <v>1484</v>
      </c>
      <c r="D34" s="1601"/>
      <c r="E34" s="560"/>
      <c r="F34" s="1602">
        <v>185</v>
      </c>
      <c r="K34" s="3918" t="s">
        <v>1557</v>
      </c>
      <c r="N34" s="1604">
        <v>1.9</v>
      </c>
    </row>
    <row r="35" spans="3:20" ht="12.75" customHeight="1">
      <c r="C35" s="1606" t="s">
        <v>1482</v>
      </c>
      <c r="D35" s="1601"/>
      <c r="E35" s="560"/>
      <c r="F35" s="1602">
        <v>3.8</v>
      </c>
      <c r="K35" s="1606" t="s">
        <v>1496</v>
      </c>
      <c r="L35" s="1601"/>
      <c r="M35" s="560"/>
      <c r="N35" s="1602">
        <v>26.4</v>
      </c>
    </row>
    <row r="36" spans="3:20" ht="12.75" customHeight="1">
      <c r="C36" s="3844" t="s">
        <v>1499</v>
      </c>
      <c r="D36" s="1601"/>
      <c r="E36" s="560"/>
      <c r="F36" s="1602">
        <v>6.6</v>
      </c>
      <c r="K36" s="1606" t="s">
        <v>1520</v>
      </c>
      <c r="N36" s="1602">
        <v>11.6</v>
      </c>
      <c r="R36" s="1535"/>
    </row>
    <row r="37" spans="3:20" ht="12.75" customHeight="1">
      <c r="C37" s="3846" t="s">
        <v>1501</v>
      </c>
      <c r="D37" s="1601"/>
      <c r="E37" s="560"/>
      <c r="F37" s="1602">
        <v>36.700000000000003</v>
      </c>
      <c r="K37" s="1606" t="s">
        <v>1488</v>
      </c>
      <c r="L37" s="1601"/>
      <c r="M37" s="560"/>
      <c r="N37" s="1602">
        <v>12</v>
      </c>
      <c r="O37" s="1476"/>
      <c r="R37" s="554"/>
    </row>
    <row r="38" spans="3:20" ht="12.75" customHeight="1">
      <c r="C38" s="3678" t="s">
        <v>1594</v>
      </c>
      <c r="F38" s="3679">
        <v>1.8</v>
      </c>
      <c r="K38" s="3678"/>
      <c r="N38" s="1604"/>
      <c r="O38" s="3679"/>
      <c r="R38" s="554"/>
      <c r="T38" s="653"/>
    </row>
    <row r="39" spans="3:20" ht="12.75" customHeight="1">
      <c r="C39" s="1606" t="s">
        <v>1480</v>
      </c>
      <c r="D39" s="1601"/>
      <c r="E39" s="560"/>
      <c r="F39" s="1602">
        <v>28</v>
      </c>
      <c r="J39" s="1627" t="s">
        <v>1372</v>
      </c>
      <c r="K39" s="1627"/>
      <c r="L39" s="560"/>
      <c r="M39" s="560"/>
      <c r="N39" s="560"/>
      <c r="O39" s="1476"/>
      <c r="T39" s="653"/>
    </row>
    <row r="40" spans="3:20" ht="13.35" customHeight="1">
      <c r="C40" s="3843" t="s">
        <v>1510</v>
      </c>
      <c r="D40" s="1601"/>
      <c r="E40" s="560"/>
      <c r="F40" s="1602">
        <v>12</v>
      </c>
      <c r="J40" s="657"/>
      <c r="K40" s="657"/>
      <c r="L40" s="1599"/>
      <c r="M40" s="1599"/>
      <c r="N40" s="1599"/>
      <c r="O40" s="1477"/>
      <c r="T40" s="653"/>
    </row>
    <row r="41" spans="3:20" ht="12.75" customHeight="1">
      <c r="C41" s="3843" t="s">
        <v>1360</v>
      </c>
      <c r="D41" s="1601"/>
      <c r="E41" s="560"/>
      <c r="F41" s="1602">
        <v>244.3</v>
      </c>
      <c r="J41" s="1606"/>
      <c r="K41" s="1606" t="s">
        <v>716</v>
      </c>
      <c r="L41" s="1601"/>
      <c r="M41" s="560"/>
      <c r="N41" s="1628">
        <v>28738</v>
      </c>
      <c r="O41" s="560" t="s">
        <v>710</v>
      </c>
      <c r="T41" s="653"/>
    </row>
    <row r="42" spans="3:20" ht="12.75" customHeight="1">
      <c r="C42" s="3843" t="s">
        <v>1358</v>
      </c>
      <c r="D42" s="1601"/>
      <c r="E42" s="560"/>
      <c r="F42" s="1602">
        <v>36.9</v>
      </c>
      <c r="J42" s="1606"/>
      <c r="K42" s="1606" t="s">
        <v>717</v>
      </c>
      <c r="L42" s="1601"/>
      <c r="M42" s="560"/>
      <c r="N42" s="1602">
        <v>3433</v>
      </c>
      <c r="O42" s="1599"/>
      <c r="T42" s="653"/>
    </row>
    <row r="43" spans="3:20" ht="12.75" customHeight="1">
      <c r="C43" s="3843" t="s">
        <v>1534</v>
      </c>
      <c r="F43" s="1602">
        <v>6.2</v>
      </c>
      <c r="G43" s="1600" t="s">
        <v>14</v>
      </c>
      <c r="J43" s="1606"/>
      <c r="K43" s="1606" t="s">
        <v>718</v>
      </c>
      <c r="L43" s="1601"/>
      <c r="M43" s="560"/>
      <c r="N43" s="1602">
        <v>6597.6</v>
      </c>
      <c r="O43" s="560"/>
      <c r="T43" s="653"/>
    </row>
    <row r="44" spans="3:20" ht="12.75" customHeight="1">
      <c r="C44" s="3843" t="s">
        <v>1357</v>
      </c>
      <c r="D44" s="1601"/>
      <c r="E44" s="560"/>
      <c r="F44" s="1602">
        <v>126.3</v>
      </c>
      <c r="J44" s="657"/>
      <c r="K44" s="1606" t="s">
        <v>719</v>
      </c>
      <c r="L44" s="1601"/>
      <c r="M44" s="560"/>
      <c r="N44" s="1602">
        <v>1246.5999999999999</v>
      </c>
      <c r="P44" s="1605"/>
      <c r="T44" s="653"/>
    </row>
    <row r="45" spans="3:20" ht="12.75" customHeight="1">
      <c r="C45" s="3843" t="s">
        <v>1355</v>
      </c>
      <c r="D45" s="1601"/>
      <c r="E45" s="560"/>
      <c r="F45" s="1602">
        <v>2.1</v>
      </c>
      <c r="G45" s="1476"/>
      <c r="K45" s="547" t="s">
        <v>1208</v>
      </c>
      <c r="L45" s="2145"/>
      <c r="M45" s="1535"/>
      <c r="N45" s="1604">
        <v>1144.8</v>
      </c>
      <c r="P45" s="1605"/>
      <c r="S45" s="3886"/>
      <c r="T45" s="653"/>
    </row>
    <row r="46" spans="3:20" ht="13.5" customHeight="1">
      <c r="C46" s="3843" t="s">
        <v>1475</v>
      </c>
      <c r="D46" s="1601"/>
      <c r="E46" s="560"/>
      <c r="F46" s="1602">
        <v>2.6</v>
      </c>
      <c r="G46" s="1476"/>
      <c r="J46" s="657"/>
      <c r="K46" s="1606"/>
      <c r="L46" s="1599"/>
      <c r="M46" s="1599"/>
      <c r="N46" s="1599"/>
      <c r="P46" s="560"/>
      <c r="S46" s="3886"/>
    </row>
    <row r="47" spans="3:20" ht="12.75" customHeight="1">
      <c r="C47" s="3843" t="s">
        <v>1476</v>
      </c>
      <c r="D47" s="1601"/>
      <c r="E47" s="560"/>
      <c r="F47" s="1602">
        <v>8.5</v>
      </c>
      <c r="G47" s="1476"/>
      <c r="J47" s="560" t="s">
        <v>904</v>
      </c>
      <c r="K47" s="1606"/>
      <c r="L47" s="560"/>
      <c r="M47" s="560"/>
      <c r="N47" s="560"/>
    </row>
    <row r="48" spans="3:20" ht="12.75" customHeight="1">
      <c r="C48" s="3843" t="s">
        <v>1361</v>
      </c>
      <c r="D48" s="1601"/>
      <c r="E48" s="560"/>
      <c r="F48" s="1602">
        <v>7</v>
      </c>
      <c r="G48" s="1476"/>
      <c r="J48" s="560" t="s">
        <v>1274</v>
      </c>
      <c r="K48" s="1606"/>
      <c r="L48" s="560"/>
      <c r="M48" s="560"/>
      <c r="N48" s="560"/>
      <c r="O48" s="1599"/>
    </row>
    <row r="49" spans="1:21" ht="13.35" customHeight="1">
      <c r="C49" s="3843" t="s">
        <v>1362</v>
      </c>
      <c r="D49" s="1601"/>
      <c r="E49" s="560"/>
      <c r="F49" s="1602">
        <v>1308.2</v>
      </c>
      <c r="G49" s="1476"/>
      <c r="J49" s="560" t="s">
        <v>1600</v>
      </c>
      <c r="K49" s="1606"/>
      <c r="L49" s="560"/>
      <c r="M49" s="560"/>
      <c r="N49" s="560"/>
      <c r="O49" s="560"/>
    </row>
    <row r="50" spans="1:21" ht="12.75" customHeight="1">
      <c r="G50" s="1476"/>
      <c r="J50" s="1478"/>
      <c r="K50" s="1478"/>
      <c r="L50" s="1479"/>
      <c r="N50" s="1477"/>
      <c r="O50" s="1477"/>
      <c r="S50" s="545"/>
      <c r="T50" s="653"/>
      <c r="U50" s="653"/>
    </row>
    <row r="51" spans="1:21" ht="12.75" customHeight="1">
      <c r="B51" s="1606" t="s">
        <v>720</v>
      </c>
      <c r="C51" s="1479"/>
      <c r="D51" s="1476"/>
      <c r="E51" s="1477"/>
      <c r="G51" s="1476"/>
      <c r="J51" s="1627" t="s">
        <v>1601</v>
      </c>
      <c r="K51" s="2093"/>
      <c r="O51" s="1476"/>
      <c r="S51" s="557"/>
      <c r="T51" s="653"/>
      <c r="U51" s="653"/>
    </row>
    <row r="52" spans="1:21" ht="12.75" customHeight="1">
      <c r="B52" s="560" t="s">
        <v>1595</v>
      </c>
      <c r="C52" s="1479"/>
      <c r="D52" s="1476"/>
      <c r="E52" s="1477"/>
      <c r="G52" s="1476"/>
      <c r="J52" s="1536" t="s">
        <v>1602</v>
      </c>
      <c r="K52" s="2093"/>
      <c r="O52" s="1476"/>
      <c r="S52" s="557"/>
      <c r="T52" s="653"/>
      <c r="U52" s="653"/>
    </row>
    <row r="53" spans="1:21" ht="12.75" customHeight="1">
      <c r="B53" s="560" t="s">
        <v>1596</v>
      </c>
      <c r="C53" s="1479"/>
      <c r="D53" s="1476"/>
      <c r="E53" s="1477"/>
      <c r="G53" s="1476"/>
      <c r="P53" s="1476"/>
      <c r="S53" s="558"/>
      <c r="T53" s="653"/>
      <c r="U53" s="653"/>
    </row>
    <row r="54" spans="1:21" ht="12.75" customHeight="1">
      <c r="B54" s="1475"/>
      <c r="C54" s="1479"/>
      <c r="D54" s="1476"/>
      <c r="E54" s="1477"/>
      <c r="F54" s="1602"/>
      <c r="G54" s="1477" t="s">
        <v>14</v>
      </c>
      <c r="R54" s="549"/>
    </row>
    <row r="55" spans="1:21" ht="12.75" customHeight="1">
      <c r="B55" s="1536" t="s">
        <v>889</v>
      </c>
      <c r="C55" s="1475"/>
      <c r="D55" s="1601"/>
      <c r="E55" s="560"/>
      <c r="F55" s="1602"/>
      <c r="R55" s="549"/>
    </row>
    <row r="56" spans="1:21" ht="12.75" customHeight="1">
      <c r="B56" s="1536" t="s">
        <v>890</v>
      </c>
      <c r="C56" s="1475"/>
      <c r="D56" s="1601"/>
      <c r="E56" s="560"/>
      <c r="R56" s="1480"/>
    </row>
    <row r="57" spans="1:21" ht="12.75" customHeight="1">
      <c r="B57" s="3882" t="s">
        <v>1584</v>
      </c>
      <c r="C57" s="1475"/>
      <c r="F57" s="3859"/>
      <c r="G57" s="1600"/>
      <c r="R57" s="1480"/>
    </row>
    <row r="58" spans="1:21" ht="12.75" customHeight="1">
      <c r="B58" s="3883" t="s">
        <v>1592</v>
      </c>
      <c r="C58" s="1475"/>
      <c r="D58" s="1601"/>
      <c r="E58" s="560"/>
      <c r="F58" s="1602"/>
      <c r="R58" s="1480"/>
    </row>
    <row r="59" spans="1:21" ht="12.75" customHeight="1">
      <c r="B59" s="560"/>
      <c r="C59" s="547"/>
      <c r="F59" s="1604"/>
      <c r="R59" s="1480"/>
    </row>
    <row r="60" spans="1:21" ht="12.75" customHeight="1">
      <c r="B60" s="1477"/>
      <c r="G60" s="3792" t="s">
        <v>14</v>
      </c>
      <c r="H60" s="1604"/>
      <c r="R60" s="1480"/>
    </row>
    <row r="61" spans="1:21" ht="12.75" customHeight="1">
      <c r="B61" s="1477"/>
      <c r="G61" s="3793" t="s">
        <v>14</v>
      </c>
      <c r="R61" s="1480"/>
    </row>
    <row r="62" spans="1:21" ht="12.75" customHeight="1">
      <c r="N62" s="1604"/>
      <c r="P62" s="1535"/>
      <c r="R62" s="1480"/>
    </row>
    <row r="63" spans="1:21" ht="12.75" customHeight="1">
      <c r="A63" s="553" t="s">
        <v>1463</v>
      </c>
      <c r="B63" s="547" t="s">
        <v>1465</v>
      </c>
      <c r="C63" s="3678"/>
      <c r="D63" s="1476"/>
      <c r="F63" s="1604"/>
      <c r="G63" s="1476"/>
      <c r="H63" s="1537"/>
      <c r="I63" s="546"/>
      <c r="N63" s="1477"/>
      <c r="O63" s="1477"/>
      <c r="P63" s="1535"/>
      <c r="R63" s="1480"/>
    </row>
    <row r="64" spans="1:21" ht="12.75" customHeight="1">
      <c r="A64" s="1475"/>
      <c r="B64" s="547" t="s">
        <v>1466</v>
      </c>
      <c r="C64" s="3678"/>
      <c r="D64" s="1476"/>
      <c r="F64" s="1604"/>
      <c r="G64" s="1476"/>
      <c r="H64" s="1537"/>
      <c r="I64" s="1537"/>
      <c r="J64" s="1535"/>
      <c r="K64" s="1535"/>
      <c r="L64" s="1535"/>
      <c r="M64" s="1535"/>
      <c r="N64" s="1535"/>
      <c r="O64" s="1535"/>
      <c r="R64" s="1480"/>
    </row>
    <row r="65" spans="1:19" s="555" customFormat="1" ht="12.75" customHeight="1">
      <c r="A65" s="1475"/>
      <c r="B65" s="547" t="s">
        <v>1467</v>
      </c>
      <c r="C65" s="3678"/>
      <c r="D65" s="1476"/>
      <c r="E65" s="1476"/>
      <c r="F65" s="1604"/>
      <c r="G65" s="1476"/>
      <c r="H65" s="1537"/>
      <c r="I65" s="1537"/>
      <c r="J65" s="1606"/>
      <c r="K65" s="1536"/>
      <c r="L65" s="560"/>
      <c r="M65" s="560"/>
      <c r="N65" s="560"/>
      <c r="O65" s="560"/>
      <c r="P65" s="1537"/>
      <c r="R65" s="1480"/>
    </row>
    <row r="66" spans="1:19" s="555" customFormat="1" ht="12.75" customHeight="1">
      <c r="A66" s="1475"/>
      <c r="B66" s="547" t="s">
        <v>1469</v>
      </c>
      <c r="C66" s="3678"/>
      <c r="D66" s="1476"/>
      <c r="E66" s="1476"/>
      <c r="F66" s="1604"/>
      <c r="G66" s="1476"/>
      <c r="H66" s="1537"/>
      <c r="I66" s="1537"/>
      <c r="J66" s="1606"/>
      <c r="K66" s="560"/>
      <c r="L66" s="560"/>
      <c r="M66" s="560"/>
      <c r="N66" s="560"/>
      <c r="O66" s="560"/>
      <c r="P66" s="1537"/>
      <c r="R66" s="1480"/>
    </row>
    <row r="67" spans="1:19" ht="12.75" customHeight="1">
      <c r="A67" s="1475"/>
      <c r="B67" s="547" t="s">
        <v>1471</v>
      </c>
      <c r="C67" s="3678"/>
      <c r="D67" s="1476"/>
      <c r="F67" s="1604"/>
      <c r="G67" s="1476"/>
      <c r="H67" s="1537"/>
      <c r="I67" s="1537"/>
      <c r="J67" s="1606"/>
      <c r="K67" s="560"/>
      <c r="L67" s="560"/>
      <c r="M67" s="560"/>
      <c r="N67" s="560"/>
      <c r="O67" s="560"/>
      <c r="R67" s="559"/>
    </row>
    <row r="68" spans="1:19" ht="12.75" customHeight="1">
      <c r="A68" s="1475"/>
      <c r="B68" s="547"/>
      <c r="C68" s="3678"/>
      <c r="D68" s="1476"/>
      <c r="F68" s="1604"/>
      <c r="G68" s="1476"/>
      <c r="I68" s="1535"/>
      <c r="J68" s="1535"/>
      <c r="K68" s="1535"/>
      <c r="L68" s="1535"/>
      <c r="M68" s="1535"/>
      <c r="N68" s="1535"/>
      <c r="O68" s="1535"/>
      <c r="R68" s="1535"/>
      <c r="S68" s="1535"/>
    </row>
    <row r="69" spans="1:19" ht="12.75" customHeight="1">
      <c r="A69" s="1475"/>
      <c r="B69" s="547" t="s">
        <v>1472</v>
      </c>
      <c r="C69" s="3678"/>
      <c r="D69" s="1476"/>
      <c r="F69" s="1604"/>
      <c r="G69" s="1476"/>
      <c r="I69" s="1535"/>
      <c r="J69" s="1535"/>
      <c r="K69" s="1535"/>
      <c r="L69" s="1535"/>
      <c r="M69" s="1535"/>
      <c r="N69" s="1535"/>
      <c r="O69" s="1535"/>
      <c r="R69" s="1535"/>
      <c r="S69" s="1535"/>
    </row>
    <row r="70" spans="1:19" ht="12.75" customHeight="1">
      <c r="A70" s="1475"/>
      <c r="B70" s="547" t="s">
        <v>1464</v>
      </c>
      <c r="C70" s="3678"/>
      <c r="D70" s="1476"/>
      <c r="F70" s="1604"/>
      <c r="G70" s="1476"/>
      <c r="H70" s="1537"/>
      <c r="I70" s="1535"/>
      <c r="J70" s="1535"/>
      <c r="K70" s="1535"/>
      <c r="L70" s="1535"/>
      <c r="M70" s="1535"/>
      <c r="N70" s="1535"/>
      <c r="O70" s="1535"/>
      <c r="R70" s="1535"/>
      <c r="S70" s="1535"/>
    </row>
    <row r="71" spans="1:19" ht="12.75" customHeight="1">
      <c r="A71" s="1475"/>
      <c r="B71" s="547" t="s">
        <v>1470</v>
      </c>
      <c r="C71" s="3678"/>
      <c r="D71" s="1476"/>
      <c r="F71" s="1604"/>
      <c r="G71" s="1476"/>
      <c r="H71" s="1537"/>
      <c r="I71" s="1535"/>
      <c r="J71" s="1535"/>
      <c r="K71" s="1535"/>
      <c r="L71" s="1535"/>
      <c r="M71" s="1535"/>
      <c r="N71" s="1535"/>
      <c r="O71" s="1535"/>
      <c r="R71" s="1535"/>
      <c r="S71" s="1535"/>
    </row>
    <row r="72" spans="1:19" ht="12.75" customHeight="1">
      <c r="C72" s="3678"/>
      <c r="D72" s="1476"/>
      <c r="F72" s="1604"/>
      <c r="H72" s="1537"/>
      <c r="I72" s="1535"/>
      <c r="J72" s="1535"/>
      <c r="K72" s="1535"/>
      <c r="L72" s="1535"/>
      <c r="M72" s="1535"/>
      <c r="N72" s="1535"/>
      <c r="O72" s="1535"/>
      <c r="R72" s="1535"/>
    </row>
    <row r="73" spans="1:19" ht="12.75" customHeight="1">
      <c r="A73" s="1612" t="s">
        <v>1526</v>
      </c>
      <c r="B73" s="1536" t="s">
        <v>1522</v>
      </c>
      <c r="C73" s="3678"/>
      <c r="D73" s="1476"/>
      <c r="F73" s="1604"/>
      <c r="H73" s="1537"/>
      <c r="I73" s="1535"/>
      <c r="J73" s="1535"/>
      <c r="K73" s="1535"/>
      <c r="L73" s="1535"/>
      <c r="M73" s="1535"/>
      <c r="N73" s="1535"/>
      <c r="O73" s="1535"/>
      <c r="R73" s="1535"/>
      <c r="S73" s="1535"/>
    </row>
    <row r="74" spans="1:19" ht="12.75" customHeight="1">
      <c r="B74" s="1536" t="s">
        <v>1523</v>
      </c>
      <c r="C74" s="3678"/>
      <c r="D74" s="1476"/>
      <c r="F74" s="1604"/>
      <c r="H74" s="1537"/>
      <c r="L74" s="545"/>
      <c r="M74" s="545"/>
      <c r="N74" s="545"/>
      <c r="O74" s="545"/>
      <c r="R74" s="1535"/>
      <c r="S74" s="1535"/>
    </row>
    <row r="75" spans="1:19" ht="12.75" customHeight="1">
      <c r="B75" s="1536" t="s">
        <v>1593</v>
      </c>
      <c r="H75" s="1537"/>
      <c r="L75" s="545"/>
      <c r="M75" s="545"/>
      <c r="N75" s="545"/>
      <c r="O75" s="545"/>
      <c r="R75" s="1535"/>
      <c r="S75" s="1535"/>
    </row>
    <row r="76" spans="1:19" ht="12.75" customHeight="1">
      <c r="A76" s="555"/>
      <c r="B76" s="1536" t="s">
        <v>1585</v>
      </c>
      <c r="H76" s="1537"/>
      <c r="M76" s="1537"/>
      <c r="N76" s="1537"/>
      <c r="R76" s="1535"/>
      <c r="S76" s="1535"/>
    </row>
    <row r="77" spans="1:19" ht="12.75" customHeight="1">
      <c r="A77" s="1535"/>
      <c r="H77" s="1537"/>
      <c r="I77" s="547"/>
      <c r="M77" s="561"/>
      <c r="N77" s="562"/>
      <c r="R77" s="1535"/>
      <c r="S77" s="1535"/>
    </row>
    <row r="78" spans="1:19" ht="12.75" customHeight="1">
      <c r="A78" s="1535"/>
      <c r="H78" s="1537"/>
      <c r="I78" s="547"/>
      <c r="M78" s="561"/>
      <c r="N78" s="562"/>
      <c r="P78" s="562"/>
      <c r="R78" s="1535"/>
      <c r="S78" s="566"/>
    </row>
    <row r="79" spans="1:19" ht="12.75" customHeight="1">
      <c r="A79" s="1535"/>
      <c r="H79" s="1537"/>
      <c r="I79" s="1537"/>
      <c r="M79" s="561"/>
      <c r="N79" s="562"/>
      <c r="P79" s="550"/>
      <c r="R79" s="566"/>
      <c r="S79" s="566"/>
    </row>
    <row r="80" spans="1:19" ht="12.75" customHeight="1">
      <c r="A80" s="1535"/>
      <c r="H80" s="1537"/>
      <c r="I80" s="1537"/>
      <c r="M80" s="561"/>
      <c r="N80" s="562"/>
      <c r="P80" s="550"/>
      <c r="R80" s="566"/>
      <c r="S80" s="1535"/>
    </row>
    <row r="81" spans="1:18" ht="12.75" customHeight="1">
      <c r="A81" s="1612"/>
      <c r="H81" s="3520"/>
      <c r="I81" s="1537"/>
      <c r="M81" s="561"/>
      <c r="N81" s="562"/>
      <c r="P81" s="550"/>
      <c r="R81" s="566"/>
    </row>
    <row r="82" spans="1:18" ht="12.75" customHeight="1">
      <c r="A82" s="1537"/>
      <c r="H82" s="1604"/>
      <c r="I82" s="1537"/>
      <c r="M82" s="561"/>
      <c r="N82" s="562"/>
      <c r="P82" s="550"/>
      <c r="R82" s="566"/>
    </row>
    <row r="83" spans="1:18" ht="12.75" customHeight="1">
      <c r="A83" s="1535"/>
      <c r="H83" s="1604"/>
      <c r="I83" s="1537"/>
      <c r="M83" s="561"/>
      <c r="N83" s="562"/>
      <c r="P83" s="550"/>
      <c r="R83" s="566"/>
    </row>
    <row r="84" spans="1:18" ht="12.75" customHeight="1">
      <c r="A84" s="1535"/>
      <c r="H84" s="1604"/>
      <c r="I84" s="1537"/>
      <c r="M84" s="561"/>
      <c r="N84" s="562"/>
      <c r="P84" s="550"/>
      <c r="R84" s="1535"/>
    </row>
    <row r="85" spans="1:18" ht="12.75" customHeight="1">
      <c r="A85" s="1535"/>
      <c r="H85" s="1604"/>
      <c r="I85" s="1537"/>
      <c r="M85" s="561"/>
      <c r="N85" s="562"/>
      <c r="P85" s="550"/>
      <c r="R85" s="1535"/>
    </row>
    <row r="86" spans="1:18" ht="12.75" customHeight="1">
      <c r="A86" s="1535"/>
      <c r="H86" s="1604"/>
      <c r="I86" s="1537"/>
      <c r="M86" s="561"/>
      <c r="N86" s="562"/>
      <c r="P86" s="550"/>
      <c r="R86" s="1535"/>
    </row>
    <row r="87" spans="1:18" ht="12.75" customHeight="1">
      <c r="A87" s="1535"/>
      <c r="H87" s="1604"/>
      <c r="I87" s="547"/>
      <c r="M87" s="561"/>
      <c r="N87" s="562"/>
      <c r="P87" s="550"/>
    </row>
    <row r="88" spans="1:18" ht="12.75" customHeight="1">
      <c r="A88" s="1535"/>
      <c r="H88" s="1604"/>
      <c r="I88" s="547"/>
      <c r="M88" s="561"/>
      <c r="N88" s="562"/>
      <c r="P88" s="550"/>
    </row>
    <row r="89" spans="1:18" ht="12.75" customHeight="1">
      <c r="A89" s="1535"/>
      <c r="I89" s="547"/>
      <c r="M89" s="561"/>
      <c r="N89" s="562"/>
      <c r="P89" s="550"/>
    </row>
    <row r="90" spans="1:18" ht="12.75" customHeight="1">
      <c r="A90" s="1535"/>
      <c r="B90" s="1475"/>
      <c r="C90" s="547"/>
      <c r="D90" s="1476"/>
      <c r="F90" s="1476"/>
      <c r="G90" s="1476"/>
      <c r="I90" s="547"/>
      <c r="M90" s="559"/>
      <c r="N90" s="562"/>
      <c r="P90" s="550"/>
    </row>
    <row r="91" spans="1:18" ht="12.75" customHeight="1">
      <c r="A91" s="553"/>
      <c r="B91" s="546"/>
      <c r="C91" s="547"/>
      <c r="D91" s="1476"/>
      <c r="F91" s="1476"/>
      <c r="G91" s="1476"/>
      <c r="I91" s="547"/>
      <c r="J91" s="547"/>
      <c r="K91" s="1535"/>
      <c r="L91" s="556"/>
      <c r="M91" s="563"/>
      <c r="N91" s="563"/>
      <c r="P91" s="550"/>
    </row>
    <row r="92" spans="1:18" ht="12.75" customHeight="1">
      <c r="B92" s="546"/>
      <c r="C92" s="547"/>
      <c r="D92" s="1476"/>
      <c r="F92" s="1476"/>
      <c r="G92" s="1476"/>
      <c r="I92" s="547"/>
      <c r="J92" s="547"/>
      <c r="K92" s="1535"/>
      <c r="L92" s="556"/>
      <c r="M92" s="563"/>
      <c r="N92" s="563"/>
      <c r="P92" s="550"/>
    </row>
    <row r="93" spans="1:18" ht="13.5" customHeight="1">
      <c r="B93" s="546"/>
      <c r="C93" s="547"/>
      <c r="D93" s="1476"/>
      <c r="F93" s="1476"/>
      <c r="G93" s="1476"/>
      <c r="I93" s="547"/>
      <c r="J93" s="547"/>
      <c r="K93" s="1535"/>
      <c r="L93" s="556"/>
      <c r="M93" s="563"/>
      <c r="N93" s="563"/>
      <c r="P93" s="550"/>
    </row>
    <row r="94" spans="1:18" ht="11.25" customHeight="1">
      <c r="B94" s="546"/>
      <c r="C94" s="547"/>
      <c r="D94" s="1476"/>
      <c r="F94" s="1476"/>
      <c r="G94" s="1476"/>
      <c r="I94" s="547"/>
      <c r="J94" s="547"/>
      <c r="K94" s="1535"/>
      <c r="L94" s="556"/>
      <c r="M94" s="563"/>
      <c r="N94" s="563"/>
      <c r="P94" s="550"/>
    </row>
    <row r="95" spans="1:18">
      <c r="C95" s="657"/>
      <c r="D95" s="546"/>
      <c r="E95" s="1535"/>
      <c r="F95" s="1535"/>
      <c r="G95" s="1535"/>
      <c r="I95" s="547"/>
      <c r="J95" s="547"/>
      <c r="K95" s="1535"/>
      <c r="L95" s="556"/>
      <c r="M95" s="563"/>
      <c r="N95" s="563"/>
      <c r="P95" s="550"/>
    </row>
    <row r="96" spans="1:18">
      <c r="B96" s="567"/>
      <c r="C96" s="546"/>
      <c r="D96" s="546"/>
      <c r="E96" s="1535"/>
      <c r="F96" s="1535"/>
      <c r="G96" s="1535"/>
      <c r="I96" s="547"/>
      <c r="J96" s="547"/>
      <c r="K96" s="1535"/>
      <c r="L96" s="556"/>
      <c r="M96" s="563"/>
      <c r="N96" s="563"/>
      <c r="P96" s="550"/>
    </row>
    <row r="97" spans="1:17">
      <c r="A97" s="553"/>
      <c r="B97" s="567"/>
      <c r="C97" s="546"/>
      <c r="D97" s="546"/>
      <c r="E97" s="1535"/>
      <c r="F97" s="1535"/>
      <c r="G97" s="1535"/>
      <c r="I97" s="547"/>
      <c r="J97" s="547"/>
      <c r="K97" s="1535"/>
      <c r="L97" s="556"/>
      <c r="M97" s="563"/>
      <c r="N97" s="563"/>
    </row>
    <row r="98" spans="1:17">
      <c r="A98" s="1535"/>
      <c r="B98" s="567"/>
      <c r="C98" s="546"/>
      <c r="D98" s="546"/>
      <c r="E98" s="1535"/>
      <c r="F98" s="1535"/>
      <c r="I98" s="547"/>
      <c r="J98" s="547"/>
      <c r="K98" s="1535"/>
      <c r="L98" s="556"/>
      <c r="M98" s="563"/>
      <c r="N98" s="563"/>
    </row>
    <row r="99" spans="1:17">
      <c r="A99" s="1535"/>
      <c r="I99" s="547"/>
      <c r="J99" s="547"/>
      <c r="K99" s="1535"/>
      <c r="L99" s="556"/>
      <c r="M99" s="563"/>
      <c r="N99" s="563"/>
    </row>
    <row r="100" spans="1:17">
      <c r="I100" s="547"/>
      <c r="J100" s="547"/>
      <c r="K100" s="1535"/>
      <c r="L100" s="556"/>
      <c r="M100" s="563"/>
      <c r="N100" s="563"/>
      <c r="Q100" s="1535"/>
    </row>
    <row r="101" spans="1:17">
      <c r="A101" s="1535"/>
      <c r="I101" s="547"/>
      <c r="J101" s="547"/>
      <c r="K101" s="1535"/>
      <c r="L101" s="556"/>
      <c r="M101" s="563"/>
      <c r="N101" s="563"/>
      <c r="Q101" s="1535"/>
    </row>
    <row r="102" spans="1:17">
      <c r="A102" s="1535"/>
      <c r="G102" s="1537"/>
      <c r="I102" s="547"/>
      <c r="J102" s="547"/>
      <c r="K102" s="1535"/>
      <c r="L102" s="556"/>
      <c r="M102" s="563"/>
      <c r="N102" s="563"/>
      <c r="Q102" s="1535"/>
    </row>
    <row r="103" spans="1:17">
      <c r="B103" s="1537"/>
      <c r="C103" s="1537"/>
      <c r="D103" s="1537"/>
      <c r="E103" s="1537"/>
      <c r="F103" s="1537"/>
      <c r="G103" s="1537"/>
      <c r="I103" s="547"/>
      <c r="J103" s="547"/>
      <c r="K103" s="1535"/>
      <c r="L103" s="556"/>
      <c r="M103" s="563"/>
      <c r="N103" s="563"/>
      <c r="Q103" s="1535"/>
    </row>
    <row r="104" spans="1:17">
      <c r="B104" s="1537"/>
      <c r="C104" s="1537"/>
      <c r="D104" s="1537"/>
      <c r="E104" s="1537"/>
      <c r="F104" s="1537"/>
      <c r="G104" s="1537"/>
      <c r="I104" s="547"/>
      <c r="J104" s="547"/>
      <c r="K104" s="1535"/>
      <c r="L104" s="556"/>
      <c r="M104" s="563"/>
      <c r="N104" s="563"/>
      <c r="Q104" s="1535"/>
    </row>
    <row r="105" spans="1:17">
      <c r="B105" s="1537"/>
      <c r="C105" s="1537"/>
      <c r="D105" s="1537"/>
      <c r="E105" s="1537"/>
      <c r="F105" s="1537"/>
      <c r="G105" s="1537"/>
      <c r="I105" s="547"/>
      <c r="J105" s="547"/>
      <c r="K105" s="1535"/>
      <c r="L105" s="556"/>
      <c r="M105" s="563"/>
      <c r="N105" s="563"/>
      <c r="Q105" s="1535"/>
    </row>
    <row r="106" spans="1:17">
      <c r="B106" s="1537"/>
      <c r="C106" s="1537"/>
      <c r="D106" s="1537"/>
      <c r="E106" s="1537"/>
      <c r="F106" s="1537"/>
      <c r="G106" s="1537"/>
      <c r="I106" s="547"/>
      <c r="J106" s="547"/>
      <c r="K106" s="1535"/>
      <c r="L106" s="556"/>
      <c r="M106" s="563"/>
      <c r="N106" s="563"/>
      <c r="Q106" s="1535"/>
    </row>
    <row r="107" spans="1:17">
      <c r="B107" s="1537"/>
      <c r="C107" s="1537"/>
      <c r="D107" s="1537"/>
      <c r="E107" s="1537"/>
      <c r="F107" s="1537"/>
      <c r="G107" s="1537"/>
      <c r="I107" s="547"/>
      <c r="J107" s="547"/>
      <c r="K107" s="1535"/>
      <c r="L107" s="556"/>
      <c r="M107" s="563"/>
      <c r="N107" s="563"/>
      <c r="P107" s="550"/>
      <c r="Q107" s="1535"/>
    </row>
    <row r="108" spans="1:17">
      <c r="B108" s="1537"/>
      <c r="C108" s="1537"/>
      <c r="D108" s="1537"/>
      <c r="E108" s="1537"/>
      <c r="F108" s="1537"/>
      <c r="G108" s="1537"/>
      <c r="I108" s="547"/>
      <c r="J108" s="547"/>
      <c r="K108" s="1535"/>
      <c r="L108" s="556"/>
      <c r="M108" s="563"/>
      <c r="N108" s="563"/>
      <c r="P108" s="550"/>
      <c r="Q108" s="1535"/>
    </row>
    <row r="109" spans="1:17">
      <c r="A109" s="1537"/>
      <c r="B109" s="1537"/>
      <c r="C109" s="1537"/>
      <c r="D109" s="1537"/>
      <c r="E109" s="1537"/>
      <c r="F109" s="1537"/>
      <c r="G109" s="1537"/>
      <c r="I109" s="547"/>
      <c r="J109" s="547"/>
      <c r="K109" s="1535"/>
      <c r="L109" s="556"/>
      <c r="M109" s="563"/>
      <c r="N109" s="563"/>
      <c r="P109" s="550"/>
      <c r="Q109" s="1535"/>
    </row>
    <row r="110" spans="1:17">
      <c r="A110" s="1537"/>
      <c r="B110" s="1537"/>
      <c r="C110" s="1537"/>
      <c r="D110" s="1537"/>
      <c r="E110" s="1537"/>
      <c r="F110" s="1537"/>
      <c r="G110" s="1537"/>
      <c r="J110" s="1478"/>
      <c r="K110" s="1535"/>
      <c r="L110" s="556"/>
      <c r="M110" s="563"/>
      <c r="N110" s="563"/>
      <c r="P110" s="550"/>
      <c r="Q110" s="1535"/>
    </row>
    <row r="111" spans="1:17">
      <c r="A111" s="1537"/>
      <c r="B111" s="1537"/>
      <c r="C111" s="1537"/>
      <c r="D111" s="1537"/>
      <c r="E111" s="1537"/>
      <c r="F111" s="1537"/>
      <c r="G111" s="1537"/>
      <c r="J111" s="1478"/>
      <c r="K111" s="1535"/>
      <c r="L111" s="556"/>
      <c r="M111" s="563"/>
      <c r="N111" s="563"/>
      <c r="P111" s="1535"/>
      <c r="Q111" s="1535"/>
    </row>
    <row r="112" spans="1:17">
      <c r="A112" s="1537"/>
      <c r="B112" s="1537"/>
      <c r="C112" s="1537"/>
      <c r="D112" s="1537"/>
      <c r="E112" s="1537"/>
      <c r="F112" s="1537"/>
      <c r="G112" s="1537"/>
      <c r="H112" s="565"/>
      <c r="P112" s="1535"/>
      <c r="Q112" s="1535"/>
    </row>
    <row r="113" spans="1:17">
      <c r="A113" s="1537"/>
      <c r="B113" s="1537"/>
      <c r="C113" s="1537"/>
      <c r="D113" s="1537"/>
      <c r="E113" s="1537"/>
      <c r="F113" s="1537"/>
      <c r="G113" s="1537"/>
      <c r="H113" s="565"/>
      <c r="P113" s="1535"/>
      <c r="Q113" s="1535"/>
    </row>
    <row r="114" spans="1:17">
      <c r="A114" s="1537"/>
      <c r="B114" s="1537"/>
      <c r="C114" s="1537"/>
      <c r="D114" s="1537"/>
      <c r="E114" s="1537"/>
      <c r="F114" s="1537"/>
      <c r="G114" s="1537"/>
      <c r="H114" s="565"/>
      <c r="P114" s="1535"/>
      <c r="Q114" s="1535"/>
    </row>
    <row r="115" spans="1:17">
      <c r="A115" s="1537"/>
      <c r="B115" s="1537"/>
      <c r="C115" s="1537"/>
      <c r="D115" s="1537"/>
      <c r="E115" s="1537"/>
      <c r="F115" s="1537"/>
      <c r="G115" s="1537"/>
      <c r="H115" s="565"/>
      <c r="P115" s="1535"/>
      <c r="Q115" s="1535"/>
    </row>
    <row r="116" spans="1:17">
      <c r="A116" s="1537"/>
      <c r="B116" s="1537"/>
      <c r="C116" s="1537"/>
      <c r="D116" s="1537"/>
      <c r="E116" s="1537"/>
      <c r="F116" s="1537"/>
      <c r="G116" s="1537"/>
      <c r="I116" s="550"/>
      <c r="J116" s="547"/>
      <c r="K116" s="1535"/>
      <c r="L116" s="1535"/>
      <c r="M116" s="1535"/>
      <c r="N116" s="1535"/>
      <c r="O116" s="1535"/>
      <c r="P116" s="1535"/>
      <c r="Q116" s="1535"/>
    </row>
    <row r="117" spans="1:17">
      <c r="A117" s="1537"/>
      <c r="B117" s="1537"/>
      <c r="C117" s="1537"/>
      <c r="D117" s="1537"/>
      <c r="E117" s="1537"/>
      <c r="F117" s="1537"/>
      <c r="G117" s="1537"/>
      <c r="I117" s="550"/>
      <c r="J117" s="547"/>
      <c r="K117" s="1535"/>
      <c r="L117" s="1535"/>
      <c r="M117" s="1535"/>
      <c r="N117" s="1535"/>
      <c r="O117" s="1535"/>
      <c r="P117" s="1535"/>
      <c r="Q117" s="1535"/>
    </row>
    <row r="118" spans="1:17">
      <c r="A118" s="1537"/>
      <c r="B118" s="1537"/>
      <c r="C118" s="1537"/>
      <c r="D118" s="1537"/>
      <c r="E118" s="1537"/>
      <c r="F118" s="1537"/>
      <c r="I118" s="550"/>
      <c r="J118" s="547"/>
      <c r="K118" s="1535"/>
      <c r="L118" s="1535"/>
      <c r="M118" s="1535"/>
      <c r="N118" s="1535"/>
      <c r="O118" s="1535"/>
      <c r="P118" s="1535"/>
      <c r="Q118" s="1535"/>
    </row>
    <row r="119" spans="1:17">
      <c r="A119" s="1537"/>
      <c r="I119" s="550"/>
      <c r="J119" s="547"/>
      <c r="K119" s="1535"/>
      <c r="L119" s="1535"/>
      <c r="M119" s="1535"/>
      <c r="N119" s="1535"/>
      <c r="O119" s="1535"/>
      <c r="Q119" s="1535"/>
    </row>
    <row r="120" spans="1:17">
      <c r="A120" s="1537"/>
      <c r="I120" s="550"/>
      <c r="J120" s="547"/>
      <c r="K120" s="1535"/>
      <c r="L120" s="1535"/>
      <c r="M120" s="1535"/>
      <c r="N120" s="1535"/>
      <c r="O120" s="1535"/>
      <c r="P120" s="1535"/>
      <c r="Q120" s="1535"/>
    </row>
    <row r="121" spans="1:17">
      <c r="A121" s="1537"/>
      <c r="G121" s="1537"/>
      <c r="I121" s="550"/>
      <c r="J121" s="547"/>
      <c r="K121" s="1535"/>
      <c r="L121" s="1535"/>
      <c r="M121" s="1535"/>
      <c r="N121" s="1535"/>
      <c r="O121" s="1535"/>
      <c r="P121" s="564"/>
      <c r="Q121" s="1535"/>
    </row>
    <row r="122" spans="1:17">
      <c r="B122" s="1537"/>
      <c r="C122" s="1537"/>
      <c r="D122" s="1537"/>
      <c r="E122" s="1537"/>
      <c r="F122" s="1537"/>
      <c r="G122" s="1537"/>
      <c r="I122" s="1537"/>
      <c r="J122" s="547"/>
      <c r="K122" s="1535"/>
      <c r="L122" s="1535"/>
      <c r="M122" s="1535"/>
      <c r="N122" s="1535"/>
      <c r="O122" s="1535"/>
      <c r="P122" s="1535"/>
      <c r="Q122" s="1535"/>
    </row>
    <row r="123" spans="1:17">
      <c r="B123" s="1537"/>
      <c r="C123" s="1537"/>
      <c r="D123" s="1537"/>
      <c r="E123" s="1537"/>
      <c r="F123" s="1537"/>
      <c r="G123" s="1537"/>
      <c r="I123" s="1535"/>
      <c r="J123" s="547"/>
      <c r="K123" s="1535"/>
      <c r="L123" s="1535"/>
      <c r="M123" s="1535"/>
      <c r="N123" s="1535"/>
      <c r="O123" s="1535"/>
      <c r="P123" s="568"/>
      <c r="Q123" s="1535"/>
    </row>
    <row r="124" spans="1:17">
      <c r="A124" s="1537"/>
      <c r="B124" s="1537"/>
      <c r="C124" s="1537"/>
      <c r="D124" s="1537"/>
      <c r="E124" s="1537"/>
      <c r="F124" s="1537"/>
      <c r="G124" s="1537"/>
      <c r="I124" s="547"/>
      <c r="J124" s="547"/>
      <c r="K124" s="1535"/>
      <c r="L124" s="1535"/>
      <c r="M124" s="1535"/>
      <c r="N124" s="1535"/>
      <c r="O124" s="1535"/>
      <c r="P124" s="1535"/>
      <c r="Q124" s="1535"/>
    </row>
    <row r="125" spans="1:17">
      <c r="A125" s="1537"/>
      <c r="B125" s="1537"/>
      <c r="C125" s="1537"/>
      <c r="D125" s="1537"/>
      <c r="E125" s="1537"/>
      <c r="F125" s="1537"/>
      <c r="G125" s="1537"/>
      <c r="I125" s="547"/>
      <c r="J125" s="547"/>
      <c r="K125" s="1535"/>
      <c r="L125" s="1535"/>
      <c r="M125" s="1535"/>
      <c r="N125" s="1535"/>
      <c r="O125" s="1535"/>
      <c r="P125" s="1535"/>
      <c r="Q125" s="1535"/>
    </row>
    <row r="126" spans="1:17">
      <c r="A126" s="1537"/>
      <c r="B126" s="1537"/>
      <c r="C126" s="1537"/>
      <c r="D126" s="1537"/>
      <c r="E126" s="1537"/>
      <c r="F126" s="1537"/>
      <c r="G126" s="1537"/>
      <c r="I126" s="547"/>
      <c r="J126" s="547"/>
      <c r="K126" s="1535"/>
      <c r="L126" s="1535"/>
      <c r="M126" s="1535"/>
      <c r="N126" s="1535"/>
      <c r="O126" s="1535"/>
      <c r="P126" s="1535"/>
    </row>
    <row r="127" spans="1:17">
      <c r="A127" s="1537"/>
      <c r="B127" s="1537"/>
      <c r="C127" s="1537"/>
      <c r="D127" s="1537"/>
      <c r="E127" s="1537"/>
      <c r="F127" s="1537"/>
      <c r="G127" s="1537"/>
      <c r="I127" s="547"/>
      <c r="J127" s="547"/>
      <c r="K127" s="1535"/>
      <c r="L127" s="1535"/>
      <c r="M127" s="1535"/>
      <c r="N127" s="1535"/>
      <c r="O127" s="1535"/>
      <c r="P127" s="1535"/>
      <c r="Q127" s="1535"/>
    </row>
    <row r="128" spans="1:17">
      <c r="A128" s="1537"/>
      <c r="B128" s="1537"/>
      <c r="C128" s="1537"/>
      <c r="D128" s="1537"/>
      <c r="E128" s="1537"/>
      <c r="F128" s="1537"/>
      <c r="G128" s="1537"/>
      <c r="I128" s="547"/>
      <c r="J128" s="547"/>
      <c r="K128" s="1535"/>
      <c r="L128" s="1535"/>
      <c r="M128" s="1535"/>
      <c r="N128" s="1535"/>
      <c r="P128" s="1535"/>
      <c r="Q128" s="564"/>
    </row>
    <row r="129" spans="1:17">
      <c r="A129" s="1537"/>
      <c r="B129" s="1537"/>
      <c r="C129" s="1537"/>
      <c r="D129" s="1537"/>
      <c r="E129" s="1537"/>
      <c r="F129" s="1537"/>
      <c r="G129" s="1537"/>
      <c r="I129" s="547"/>
      <c r="J129" s="547"/>
      <c r="K129" s="1535"/>
      <c r="L129" s="1535"/>
      <c r="M129" s="1535"/>
      <c r="N129" s="1535"/>
      <c r="O129" s="1535"/>
      <c r="P129" s="1535"/>
      <c r="Q129" s="1535"/>
    </row>
    <row r="130" spans="1:17">
      <c r="A130" s="1537"/>
      <c r="B130" s="1537"/>
      <c r="C130" s="1537"/>
      <c r="D130" s="1537"/>
      <c r="E130" s="1537"/>
      <c r="F130" s="1537"/>
      <c r="G130" s="1537"/>
      <c r="I130" s="547"/>
      <c r="J130" s="547"/>
      <c r="K130" s="1535"/>
      <c r="L130" s="1535"/>
      <c r="M130" s="1535"/>
      <c r="N130" s="1535"/>
      <c r="O130" s="1535"/>
      <c r="P130" s="566"/>
      <c r="Q130" s="1535"/>
    </row>
    <row r="131" spans="1:17">
      <c r="A131" s="1537"/>
      <c r="B131" s="1537"/>
      <c r="C131" s="1537"/>
      <c r="D131" s="1537"/>
      <c r="E131" s="1537"/>
      <c r="F131" s="1537"/>
      <c r="G131" s="1537"/>
      <c r="I131" s="547"/>
      <c r="J131" s="547"/>
      <c r="K131" s="1535"/>
      <c r="L131" s="569"/>
      <c r="O131" s="1535"/>
      <c r="Q131" s="1535"/>
    </row>
    <row r="132" spans="1:17">
      <c r="A132" s="1537"/>
      <c r="B132" s="1537"/>
      <c r="C132" s="1537"/>
      <c r="D132" s="1537"/>
      <c r="E132" s="1537"/>
      <c r="F132" s="1537"/>
      <c r="G132" s="1537"/>
      <c r="I132" s="547"/>
      <c r="J132" s="547"/>
      <c r="K132" s="1535"/>
      <c r="L132" s="569"/>
      <c r="M132" s="1535"/>
      <c r="N132" s="556"/>
      <c r="O132" s="1535"/>
    </row>
    <row r="133" spans="1:17">
      <c r="A133" s="1537"/>
      <c r="B133" s="1537"/>
      <c r="C133" s="1537"/>
      <c r="D133" s="1537"/>
      <c r="E133" s="1537"/>
      <c r="F133" s="1537"/>
      <c r="G133" s="1537"/>
      <c r="I133" s="1535"/>
      <c r="J133" s="1535"/>
      <c r="K133" s="569"/>
      <c r="L133" s="1537"/>
      <c r="M133" s="1537"/>
      <c r="N133" s="1537"/>
    </row>
    <row r="134" spans="1:17">
      <c r="A134" s="1537"/>
      <c r="B134" s="1537"/>
      <c r="C134" s="1537"/>
      <c r="D134" s="1537"/>
      <c r="E134" s="1537"/>
      <c r="F134" s="1537"/>
      <c r="I134" s="1535"/>
      <c r="J134" s="1535"/>
      <c r="K134" s="570"/>
      <c r="L134" s="1537"/>
      <c r="M134" s="1537"/>
      <c r="N134" s="1537"/>
    </row>
    <row r="135" spans="1:17">
      <c r="A135" s="1537"/>
      <c r="I135" s="1535"/>
      <c r="J135" s="1535"/>
      <c r="K135" s="1535"/>
      <c r="L135" s="1537"/>
      <c r="M135" s="1537"/>
      <c r="N135" s="1537"/>
    </row>
    <row r="136" spans="1:17">
      <c r="A136" s="1537"/>
      <c r="I136" s="1535"/>
      <c r="J136" s="1535"/>
      <c r="K136" s="1535"/>
      <c r="L136" s="1537"/>
      <c r="M136" s="1537"/>
      <c r="N136" s="1537"/>
    </row>
    <row r="137" spans="1:17">
      <c r="A137" s="1537"/>
      <c r="G137" s="1537"/>
      <c r="I137" s="1535"/>
      <c r="J137" s="1535"/>
      <c r="L137" s="1537"/>
      <c r="M137" s="1537"/>
      <c r="N137" s="1537"/>
    </row>
    <row r="138" spans="1:17">
      <c r="B138" s="1537"/>
      <c r="C138" s="1537"/>
      <c r="D138" s="1537"/>
      <c r="E138" s="1537"/>
      <c r="F138" s="1537"/>
      <c r="G138" s="1537"/>
    </row>
    <row r="139" spans="1:17">
      <c r="B139" s="1537"/>
      <c r="C139" s="1537"/>
      <c r="D139" s="1537"/>
      <c r="E139" s="1537"/>
      <c r="F139" s="1537"/>
      <c r="G139" s="1537"/>
    </row>
    <row r="140" spans="1:17">
      <c r="B140" s="1537"/>
      <c r="C140" s="1537"/>
      <c r="D140" s="1537"/>
      <c r="E140" s="1537"/>
      <c r="F140" s="1537"/>
      <c r="G140" s="1537"/>
    </row>
    <row r="141" spans="1:17">
      <c r="A141" s="1537"/>
      <c r="B141" s="1537"/>
      <c r="C141" s="1537"/>
      <c r="D141" s="1537"/>
      <c r="E141" s="1537"/>
      <c r="F141" s="1537"/>
      <c r="J141" s="1537"/>
      <c r="K141" s="1537"/>
      <c r="L141" s="1537"/>
      <c r="M141" s="1537"/>
      <c r="N141" s="1537"/>
    </row>
    <row r="142" spans="1:17">
      <c r="A142" s="1537"/>
      <c r="J142" s="1537"/>
      <c r="K142" s="1537"/>
      <c r="L142" s="1537"/>
      <c r="M142" s="1537"/>
      <c r="N142" s="1537"/>
    </row>
    <row r="143" spans="1:17">
      <c r="A143" s="1537"/>
      <c r="I143" s="1537"/>
      <c r="J143" s="1537"/>
      <c r="K143" s="1537"/>
      <c r="L143" s="1537"/>
      <c r="M143" s="1537"/>
      <c r="N143" s="1537"/>
    </row>
    <row r="144" spans="1:17">
      <c r="A144" s="1537"/>
      <c r="I144" s="1537"/>
      <c r="J144" s="1537"/>
      <c r="K144" s="1537"/>
      <c r="L144" s="1537"/>
      <c r="M144" s="1537"/>
      <c r="N144" s="153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A63:A7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70" workbookViewId="0"/>
  </sheetViews>
  <sheetFormatPr defaultColWidth="8.81640625" defaultRowHeight="15"/>
  <cols>
    <col min="1" max="1" width="44.81640625" style="38" customWidth="1"/>
    <col min="2" max="2" width="13.81640625" style="38" customWidth="1"/>
    <col min="3" max="3" width="1.81640625" style="38" customWidth="1"/>
    <col min="4" max="4" width="13.81640625" style="38" customWidth="1"/>
    <col min="5" max="5" width="1.54296875" style="38" customWidth="1"/>
    <col min="6" max="6" width="13.81640625" style="38" customWidth="1"/>
    <col min="7" max="7" width="1.81640625" style="38" customWidth="1"/>
    <col min="8" max="8" width="13.81640625" style="38" customWidth="1"/>
    <col min="9" max="9" width="0.81640625" style="38" customWidth="1"/>
    <col min="10" max="10" width="12.81640625" style="38" customWidth="1"/>
    <col min="11" max="11" width="1.54296875" style="38" customWidth="1"/>
    <col min="12" max="12" width="13.81640625" style="38" customWidth="1"/>
    <col min="13" max="13" width="1" style="38" customWidth="1"/>
    <col min="14" max="14" width="13.453125" style="1693" customWidth="1"/>
    <col min="15" max="15" width="1.08984375" style="1693" customWidth="1"/>
    <col min="16" max="16" width="13.08984375" style="1693" customWidth="1"/>
    <col min="17" max="17" width="1.54296875" style="38" customWidth="1"/>
    <col min="18" max="18" width="1" style="101" customWidth="1"/>
    <col min="19" max="19" width="11.81640625" style="38" customWidth="1"/>
    <col min="20" max="20" width="0.81640625" style="101" customWidth="1"/>
    <col min="21" max="21" width="10.81640625" style="38" customWidth="1"/>
    <col min="22" max="22" width="0.453125" style="101" customWidth="1"/>
    <col min="23" max="16384" width="8.81640625" style="38"/>
  </cols>
  <sheetData>
    <row r="1" spans="1:254">
      <c r="A1" s="635" t="s">
        <v>881</v>
      </c>
    </row>
    <row r="2" spans="1:254">
      <c r="A2" s="812"/>
    </row>
    <row r="3" spans="1:254" s="31" customFormat="1" ht="18" customHeight="1">
      <c r="A3" s="26" t="s">
        <v>0</v>
      </c>
      <c r="B3" s="26"/>
      <c r="C3" s="26"/>
      <c r="D3" s="26"/>
      <c r="E3" s="26"/>
      <c r="F3" s="27"/>
      <c r="G3" s="27"/>
      <c r="H3" s="26"/>
      <c r="I3" s="26"/>
      <c r="J3" s="26"/>
      <c r="K3" s="26"/>
      <c r="L3" s="26"/>
      <c r="M3" s="26"/>
      <c r="N3" s="3431"/>
      <c r="O3" s="3960"/>
      <c r="P3" s="3960"/>
      <c r="Q3" s="1336"/>
      <c r="R3" s="1336"/>
      <c r="S3" s="28"/>
      <c r="T3" s="30"/>
      <c r="U3" s="3961" t="s">
        <v>60</v>
      </c>
      <c r="V3" s="3961"/>
      <c r="W3" s="29"/>
      <c r="X3" s="29"/>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row>
    <row r="4" spans="1:254" s="31" customFormat="1" ht="15.6">
      <c r="A4" s="26" t="s">
        <v>349</v>
      </c>
      <c r="B4" s="26"/>
      <c r="C4" s="26"/>
      <c r="D4" s="26"/>
      <c r="E4" s="26"/>
      <c r="F4" s="27"/>
      <c r="G4" s="27"/>
      <c r="H4" s="26"/>
      <c r="I4" s="26"/>
      <c r="J4" s="26"/>
      <c r="K4" s="26"/>
      <c r="L4" s="26"/>
      <c r="M4" s="26"/>
      <c r="N4" s="102"/>
      <c r="O4" s="102"/>
      <c r="P4" s="102"/>
      <c r="Q4" s="26"/>
      <c r="R4" s="251"/>
      <c r="S4" s="28"/>
      <c r="T4" s="30"/>
      <c r="U4" s="29"/>
      <c r="V4" s="30"/>
      <c r="W4" s="29"/>
      <c r="X4" s="29"/>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row>
    <row r="5" spans="1:254" s="31" customFormat="1" ht="15.75" customHeight="1">
      <c r="A5" s="1337" t="s">
        <v>792</v>
      </c>
      <c r="B5" s="26"/>
      <c r="C5" s="26"/>
      <c r="D5" s="26"/>
      <c r="E5" s="26"/>
      <c r="F5" s="27"/>
      <c r="G5" s="27"/>
      <c r="H5" s="26"/>
      <c r="I5" s="26"/>
      <c r="J5" s="26"/>
      <c r="K5" s="26"/>
      <c r="L5" s="26"/>
      <c r="M5" s="26"/>
      <c r="N5" s="102"/>
      <c r="O5" s="102"/>
      <c r="P5" s="102" t="s">
        <v>14</v>
      </c>
      <c r="Q5" s="26"/>
      <c r="R5" s="251"/>
      <c r="S5" s="28"/>
      <c r="T5" s="30"/>
      <c r="U5" s="29"/>
      <c r="V5" s="30"/>
      <c r="W5" s="29"/>
      <c r="X5" s="29"/>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row>
    <row r="6" spans="1:254" s="31" customFormat="1" ht="15.6">
      <c r="A6" s="26" t="s">
        <v>1263</v>
      </c>
      <c r="B6" s="26"/>
      <c r="C6" s="26"/>
      <c r="D6" s="26"/>
      <c r="E6" s="26"/>
      <c r="F6" s="27"/>
      <c r="G6" s="27"/>
      <c r="H6" s="26"/>
      <c r="I6" s="26"/>
      <c r="J6" s="26"/>
      <c r="K6" s="26"/>
      <c r="L6" s="26"/>
      <c r="M6" s="26"/>
      <c r="N6" s="102"/>
      <c r="O6" s="102"/>
      <c r="P6" s="102"/>
      <c r="Q6" s="26"/>
      <c r="R6" s="251"/>
      <c r="S6" s="28"/>
      <c r="T6" s="30"/>
      <c r="U6" s="29"/>
      <c r="V6" s="30"/>
      <c r="W6" s="29"/>
      <c r="X6" s="29"/>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pans="1:254" s="31" customFormat="1" ht="15.6">
      <c r="A7" s="32"/>
      <c r="B7" s="26"/>
      <c r="C7" s="26"/>
      <c r="D7" s="26"/>
      <c r="E7" s="26"/>
      <c r="F7" s="27"/>
      <c r="G7" s="27"/>
      <c r="H7" s="26"/>
      <c r="I7" s="26"/>
      <c r="J7" s="26"/>
      <c r="K7" s="26"/>
      <c r="L7" s="26"/>
      <c r="M7" s="26"/>
      <c r="N7" s="102"/>
      <c r="O7" s="102"/>
      <c r="P7" s="102"/>
      <c r="Q7" s="26"/>
      <c r="R7" s="251"/>
      <c r="S7" s="28"/>
      <c r="T7" s="30"/>
      <c r="U7" s="29"/>
      <c r="V7" s="30"/>
      <c r="W7" s="29"/>
      <c r="X7" s="29"/>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pans="1:254" s="31" customFormat="1" ht="15.6">
      <c r="B8" s="26"/>
      <c r="C8" s="26"/>
      <c r="D8" s="26"/>
      <c r="E8" s="26"/>
      <c r="F8" s="27"/>
      <c r="G8" s="27"/>
      <c r="H8" s="26"/>
      <c r="I8" s="26"/>
      <c r="J8" s="26"/>
      <c r="K8" s="26"/>
      <c r="L8" s="26"/>
      <c r="M8" s="26"/>
      <c r="N8" s="102"/>
      <c r="O8" s="102"/>
      <c r="P8" s="102"/>
      <c r="Q8" s="26"/>
      <c r="R8" s="251"/>
      <c r="S8" s="28"/>
      <c r="T8" s="30"/>
      <c r="U8" s="29"/>
      <c r="V8" s="30"/>
      <c r="W8" s="29"/>
      <c r="X8" s="29"/>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row>
    <row r="9" spans="1:254" s="31" customFormat="1" ht="8.1" customHeight="1">
      <c r="A9" s="28"/>
      <c r="B9" s="26"/>
      <c r="C9" s="26"/>
      <c r="D9" s="26"/>
      <c r="E9" s="26"/>
      <c r="F9" s="26"/>
      <c r="G9" s="27"/>
      <c r="H9" s="26"/>
      <c r="I9" s="26"/>
      <c r="J9" s="26"/>
      <c r="K9" s="26"/>
      <c r="L9" s="26"/>
      <c r="M9" s="26"/>
      <c r="N9" s="102"/>
      <c r="O9" s="102"/>
      <c r="P9" s="102"/>
      <c r="Q9" s="26"/>
      <c r="R9" s="251"/>
      <c r="S9" s="28"/>
      <c r="T9" s="33"/>
      <c r="U9" s="28"/>
      <c r="V9" s="34"/>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row>
    <row r="10" spans="1:254" s="31" customFormat="1" ht="15.6">
      <c r="A10" s="28"/>
      <c r="B10" s="26"/>
      <c r="C10" s="26"/>
      <c r="D10" s="26"/>
      <c r="E10" s="26"/>
      <c r="F10" s="26"/>
      <c r="G10" s="27"/>
      <c r="H10" s="26"/>
      <c r="I10" s="26"/>
      <c r="J10" s="26"/>
      <c r="K10" s="26"/>
      <c r="L10" s="26"/>
      <c r="M10" s="26"/>
      <c r="N10" s="102"/>
      <c r="O10" s="102"/>
      <c r="P10" s="102"/>
      <c r="Q10" s="26"/>
      <c r="R10" s="251"/>
      <c r="S10" s="28"/>
      <c r="T10" s="30"/>
      <c r="U10" s="29"/>
      <c r="V10" s="30"/>
      <c r="W10" s="29"/>
      <c r="X10" s="29"/>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row>
    <row r="11" spans="1:254" s="31" customFormat="1" ht="15.6">
      <c r="A11" s="28"/>
      <c r="B11" s="26"/>
      <c r="C11" s="26"/>
      <c r="D11" s="26"/>
      <c r="E11" s="26"/>
      <c r="F11" s="26"/>
      <c r="G11" s="27"/>
      <c r="H11" s="26"/>
      <c r="I11" s="26"/>
      <c r="K11" s="726"/>
      <c r="L11" s="1338"/>
      <c r="M11" s="208"/>
      <c r="N11" s="729"/>
      <c r="O11" s="729"/>
      <c r="P11" s="729"/>
      <c r="Q11" s="726"/>
      <c r="R11" s="743"/>
      <c r="S11" s="28"/>
      <c r="T11" s="30"/>
      <c r="U11" s="29"/>
      <c r="V11" s="30"/>
      <c r="W11" s="29"/>
      <c r="X11" s="29"/>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row>
    <row r="12" spans="1:254" ht="16.350000000000001" customHeight="1">
      <c r="A12" s="28"/>
      <c r="B12" s="726"/>
      <c r="C12" s="726" t="s">
        <v>61</v>
      </c>
      <c r="D12" s="726"/>
      <c r="E12" s="26"/>
      <c r="F12" s="726"/>
      <c r="G12" s="726" t="s">
        <v>62</v>
      </c>
      <c r="H12" s="726"/>
      <c r="I12" s="26"/>
      <c r="J12" s="726"/>
      <c r="K12" s="726"/>
      <c r="L12" s="1338"/>
      <c r="M12" s="726" t="s">
        <v>63</v>
      </c>
      <c r="N12" s="729"/>
      <c r="O12" s="729"/>
      <c r="P12" s="729"/>
      <c r="Q12" s="726"/>
      <c r="R12" s="743"/>
      <c r="S12" s="2205" t="s">
        <v>813</v>
      </c>
      <c r="T12" s="2206"/>
      <c r="U12" s="2206"/>
      <c r="V12" s="36"/>
      <c r="W12" s="37"/>
      <c r="X12" s="37"/>
    </row>
    <row r="13" spans="1:254" ht="13.35" customHeight="1">
      <c r="A13" s="28"/>
      <c r="B13" s="39"/>
      <c r="C13" s="39"/>
      <c r="D13" s="39"/>
      <c r="E13" s="28"/>
      <c r="F13" s="39"/>
      <c r="G13" s="40"/>
      <c r="H13" s="39"/>
      <c r="I13" s="28"/>
      <c r="J13" s="39"/>
      <c r="K13" s="39"/>
      <c r="L13" s="39"/>
      <c r="M13" s="39"/>
      <c r="N13" s="3435"/>
      <c r="O13" s="3435"/>
      <c r="P13" s="3435"/>
      <c r="Q13" s="33"/>
      <c r="R13" s="972"/>
      <c r="S13" s="35"/>
      <c r="T13" s="41"/>
      <c r="U13" s="37"/>
      <c r="V13" s="41"/>
      <c r="W13" s="37"/>
      <c r="X13" s="37"/>
    </row>
    <row r="14" spans="1:254" ht="16.350000000000001" customHeight="1">
      <c r="A14" s="28"/>
      <c r="B14" s="726" t="s">
        <v>6</v>
      </c>
      <c r="C14" s="26"/>
      <c r="D14" s="726" t="str">
        <f>'Exhibit A'!F11</f>
        <v>10 MOS. ENDED</v>
      </c>
      <c r="E14" s="26"/>
      <c r="F14" s="726" t="s">
        <v>6</v>
      </c>
      <c r="G14" s="206"/>
      <c r="H14" s="726" t="str">
        <f>D14</f>
        <v>10 MOS. ENDED</v>
      </c>
      <c r="I14" s="26"/>
      <c r="J14" s="726" t="s">
        <v>6</v>
      </c>
      <c r="K14" s="26"/>
      <c r="L14" s="726" t="str">
        <f>D14</f>
        <v>10 MOS. ENDED</v>
      </c>
      <c r="M14" s="26"/>
      <c r="N14" s="729" t="s">
        <v>6</v>
      </c>
      <c r="O14" s="102"/>
      <c r="P14" s="729" t="str">
        <f>H14</f>
        <v>10 MOS. ENDED</v>
      </c>
      <c r="Q14" s="726"/>
      <c r="R14" s="973"/>
      <c r="S14" s="737" t="s">
        <v>7</v>
      </c>
      <c r="T14" s="207"/>
      <c r="U14" s="738" t="s">
        <v>8</v>
      </c>
      <c r="V14" s="41"/>
      <c r="W14" s="37"/>
      <c r="X14" s="37"/>
    </row>
    <row r="15" spans="1:254" ht="16.350000000000001" customHeight="1">
      <c r="A15" s="28"/>
      <c r="B15" s="727" t="str">
        <f>'Exhibit A'!D12</f>
        <v>JAN. 2022</v>
      </c>
      <c r="C15" s="26"/>
      <c r="D15" s="728" t="str">
        <f>'Exhibit A'!F12</f>
        <v>JAN. 31, 2022</v>
      </c>
      <c r="E15" s="26"/>
      <c r="F15" s="726" t="str">
        <f>B15</f>
        <v>JAN. 2022</v>
      </c>
      <c r="G15" s="26"/>
      <c r="H15" s="726" t="str">
        <f>D15</f>
        <v>JAN. 31, 2022</v>
      </c>
      <c r="I15" s="26"/>
      <c r="J15" s="726" t="str">
        <f>B15</f>
        <v>JAN. 2022</v>
      </c>
      <c r="K15" s="26"/>
      <c r="L15" s="726" t="str">
        <f>'Exhibit A'!X12</f>
        <v>JAN. 31, 2022</v>
      </c>
      <c r="M15" s="26"/>
      <c r="N15" s="3432" t="str">
        <f>'Exhibit A'!AB12</f>
        <v>JAN. 2021</v>
      </c>
      <c r="O15" s="102"/>
      <c r="P15" s="3763" t="str">
        <f>'Exhibit A'!AD12</f>
        <v>JAN. 31, 2021</v>
      </c>
      <c r="Q15" s="725"/>
      <c r="R15" s="974"/>
      <c r="S15" s="740" t="s">
        <v>11</v>
      </c>
      <c r="T15" s="206"/>
      <c r="U15" s="741" t="s">
        <v>12</v>
      </c>
      <c r="V15" s="41"/>
      <c r="W15" s="37"/>
      <c r="X15" s="37"/>
    </row>
    <row r="16" spans="1:254" ht="13.35" customHeight="1">
      <c r="A16" s="28"/>
      <c r="B16" s="39"/>
      <c r="C16" s="28"/>
      <c r="D16" s="39" t="s">
        <v>14</v>
      </c>
      <c r="E16" s="28"/>
      <c r="F16" s="39"/>
      <c r="G16" s="28"/>
      <c r="H16" s="40" t="s">
        <v>14</v>
      </c>
      <c r="I16" s="42"/>
      <c r="J16" s="43"/>
      <c r="K16" s="28"/>
      <c r="L16" s="39"/>
      <c r="M16" s="42"/>
      <c r="N16" s="106"/>
      <c r="O16" s="104"/>
      <c r="P16" s="106"/>
      <c r="Q16" s="33"/>
      <c r="R16" s="972"/>
      <c r="S16" s="35"/>
      <c r="T16" s="33"/>
      <c r="U16" s="37"/>
      <c r="V16" s="33"/>
      <c r="W16" s="37"/>
      <c r="X16" s="37"/>
    </row>
    <row r="17" spans="1:247" ht="16.350000000000001" customHeight="1">
      <c r="A17" s="26" t="s">
        <v>13</v>
      </c>
      <c r="B17" s="44"/>
      <c r="C17" s="44"/>
      <c r="D17" s="44"/>
      <c r="E17" s="44"/>
      <c r="F17" s="44"/>
      <c r="G17" s="44"/>
      <c r="H17" s="44"/>
      <c r="I17" s="45"/>
      <c r="J17" s="45"/>
      <c r="K17" s="44"/>
      <c r="L17" s="44"/>
      <c r="M17" s="45"/>
      <c r="N17" s="3409"/>
      <c r="O17" s="3436"/>
      <c r="P17" s="3762"/>
      <c r="Q17" s="46"/>
      <c r="R17" s="975"/>
      <c r="S17" s="35"/>
      <c r="T17" s="46"/>
      <c r="U17" s="37"/>
      <c r="V17" s="46"/>
      <c r="W17" s="37"/>
      <c r="X17" s="37"/>
    </row>
    <row r="18" spans="1:247" ht="16.350000000000001" customHeight="1">
      <c r="A18" s="28" t="s">
        <v>19</v>
      </c>
      <c r="B18" s="649">
        <f>'Exhibit J'!U19</f>
        <v>245.69999999999959</v>
      </c>
      <c r="C18" s="649"/>
      <c r="D18" s="959">
        <f>+'Exhibit J'!AB19</f>
        <v>2449.1</v>
      </c>
      <c r="E18" s="649"/>
      <c r="F18" s="959">
        <f>'Exhibit K'!T17</f>
        <v>40.199999999999932</v>
      </c>
      <c r="G18" s="649"/>
      <c r="H18" s="959">
        <f>+'Exhibit K'!AA17</f>
        <v>415.2</v>
      </c>
      <c r="I18" s="1200"/>
      <c r="J18" s="1200">
        <f>ROUND(SUM(B18)+SUM(F18),1)</f>
        <v>285.89999999999998</v>
      </c>
      <c r="K18" s="649"/>
      <c r="L18" s="1372">
        <f>ROUND(SUM(D18)+SUM(H18),1)</f>
        <v>2864.3</v>
      </c>
      <c r="M18" s="1200"/>
      <c r="N18" s="1003">
        <v>42.599999999999994</v>
      </c>
      <c r="O18" s="1003"/>
      <c r="P18" s="1003">
        <f>'Exhibit J'!AE19+'Exhibit K'!AD17</f>
        <v>387.7</v>
      </c>
      <c r="Q18" s="959"/>
      <c r="R18" s="1373"/>
      <c r="S18" s="649">
        <f>ROUND(SUM(L18-P18),1)</f>
        <v>2476.6</v>
      </c>
      <c r="T18" s="1184"/>
      <c r="U18" s="1416">
        <f>ROUND(+S18/P18,3)</f>
        <v>6.3879999999999999</v>
      </c>
      <c r="V18" s="49"/>
      <c r="W18" s="50"/>
      <c r="X18" s="50"/>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row>
    <row r="19" spans="1:247" ht="16.350000000000001" customHeight="1">
      <c r="A19" s="809" t="s">
        <v>64</v>
      </c>
      <c r="B19" s="634">
        <f>'Exhibit J'!U20</f>
        <v>28.200000000004366</v>
      </c>
      <c r="C19" s="634"/>
      <c r="D19" s="931">
        <f>+'Exhibit J'!AB20</f>
        <v>23928.600000000002</v>
      </c>
      <c r="E19" s="634"/>
      <c r="F19" s="650">
        <v>0</v>
      </c>
      <c r="G19" s="634"/>
      <c r="H19" s="650">
        <v>0</v>
      </c>
      <c r="I19" s="1374"/>
      <c r="J19" s="1375">
        <f>ROUND(SUM(B19)+SUM(F19),1)</f>
        <v>28.2</v>
      </c>
      <c r="K19" s="660"/>
      <c r="L19" s="931">
        <f>ROUND(SUM(D19)+SUM(H19),1)</f>
        <v>23928.6</v>
      </c>
      <c r="M19" s="1376"/>
      <c r="N19" s="1012">
        <v>4910.9000000000005</v>
      </c>
      <c r="O19" s="1012"/>
      <c r="P19" s="1012">
        <f>'Exhibit J'!AE20</f>
        <v>45943.8</v>
      </c>
      <c r="Q19" s="931"/>
      <c r="R19" s="1377"/>
      <c r="S19" s="634">
        <f>ROUND(SUM(L19-P19),1)</f>
        <v>-22015.200000000001</v>
      </c>
      <c r="T19" s="1378"/>
      <c r="U19" s="1500">
        <f>ROUND(+S19/P19,3)</f>
        <v>-0.47899999999999998</v>
      </c>
      <c r="V19" s="56"/>
      <c r="W19" s="50"/>
      <c r="X19" s="50"/>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row>
    <row r="20" spans="1:247" ht="16.350000000000001" customHeight="1">
      <c r="A20" s="28" t="s">
        <v>65</v>
      </c>
      <c r="B20" s="634">
        <f>'Exhibit J'!U21</f>
        <v>256.60000000000002</v>
      </c>
      <c r="C20" s="634"/>
      <c r="D20" s="931">
        <f>+'Exhibit J'!AB21</f>
        <v>2702.2</v>
      </c>
      <c r="E20" s="634"/>
      <c r="F20" s="650">
        <v>0</v>
      </c>
      <c r="G20" s="634"/>
      <c r="H20" s="650">
        <v>0</v>
      </c>
      <c r="I20" s="1374"/>
      <c r="J20" s="1379">
        <f>ROUND(SUM(B20+F20),1)</f>
        <v>256.60000000000002</v>
      </c>
      <c r="K20" s="660"/>
      <c r="L20" s="931">
        <f>ROUND(SUM(D20)+SUM(H20),1)</f>
        <v>2702.2</v>
      </c>
      <c r="M20" s="1376"/>
      <c r="N20" s="1012">
        <v>499.79999999999995</v>
      </c>
      <c r="O20" s="3434"/>
      <c r="P20" s="1012">
        <f>'Exhibit J'!AE21</f>
        <v>14144.6</v>
      </c>
      <c r="Q20" s="931"/>
      <c r="R20" s="1377"/>
      <c r="S20" s="634">
        <f>ROUND(SUM(L20-P20),1)</f>
        <v>-11442.4</v>
      </c>
      <c r="T20" s="1378"/>
      <c r="U20" s="3579">
        <f>ROUND(+S20/P20,3)</f>
        <v>-0.80900000000000005</v>
      </c>
      <c r="V20" s="56"/>
      <c r="W20" s="50"/>
      <c r="X20" s="50"/>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row>
    <row r="21" spans="1:247" ht="15.6">
      <c r="A21" s="26" t="s">
        <v>21</v>
      </c>
      <c r="B21" s="3362">
        <f>ROUND(SUM(B18:B20),1)</f>
        <v>530.5</v>
      </c>
      <c r="C21" s="910"/>
      <c r="D21" s="58">
        <f>ROUND(SUM(D18:D20),1)</f>
        <v>29079.9</v>
      </c>
      <c r="E21" s="910"/>
      <c r="F21" s="58">
        <f>ROUND(SUM(F18:F20),1)</f>
        <v>40.200000000000003</v>
      </c>
      <c r="G21" s="910"/>
      <c r="H21" s="58">
        <f>ROUND(SUM(H18:H20),1)</f>
        <v>415.2</v>
      </c>
      <c r="I21" s="60"/>
      <c r="J21" s="58">
        <f>SUM(J18:J20)</f>
        <v>570.70000000000005</v>
      </c>
      <c r="K21" s="910"/>
      <c r="L21" s="58">
        <f>SUM(L18:L20)</f>
        <v>29495.1</v>
      </c>
      <c r="M21" s="61"/>
      <c r="N21" s="3362">
        <f>ROUND(SUM(N18:N20),1)</f>
        <v>5453.3</v>
      </c>
      <c r="O21" s="109"/>
      <c r="P21" s="3362">
        <f>ROUND(SUM(P18:P20),1)</f>
        <v>60476.1</v>
      </c>
      <c r="Q21" s="73"/>
      <c r="R21" s="332"/>
      <c r="S21" s="58">
        <f>ROUND(SUM(S18:S20),1)</f>
        <v>-30981</v>
      </c>
      <c r="T21" s="658"/>
      <c r="U21" s="3608">
        <f>ROUND(+S21/P21,3)</f>
        <v>-0.51200000000000001</v>
      </c>
      <c r="V21" s="56"/>
      <c r="W21" s="37"/>
      <c r="X21" s="50"/>
    </row>
    <row r="22" spans="1:247" ht="15.6">
      <c r="A22" s="26"/>
      <c r="B22" s="634"/>
      <c r="C22" s="634"/>
      <c r="D22" s="634"/>
      <c r="E22" s="634"/>
      <c r="F22" s="634"/>
      <c r="G22" s="634"/>
      <c r="H22" s="634"/>
      <c r="I22" s="1375"/>
      <c r="J22" s="1375"/>
      <c r="K22" s="634"/>
      <c r="L22" s="634"/>
      <c r="M22" s="1375"/>
      <c r="N22" s="1012"/>
      <c r="O22" s="883"/>
      <c r="P22" s="1012"/>
      <c r="Q22" s="931"/>
      <c r="R22" s="1377"/>
      <c r="S22" s="908"/>
      <c r="T22" s="1380"/>
      <c r="U22" s="1417"/>
      <c r="V22" s="46"/>
      <c r="W22" s="37"/>
      <c r="X22" s="50"/>
    </row>
    <row r="23" spans="1:247" ht="16.350000000000001" customHeight="1">
      <c r="A23" s="26" t="s">
        <v>22</v>
      </c>
      <c r="B23" s="634"/>
      <c r="C23" s="634"/>
      <c r="D23" s="634"/>
      <c r="E23" s="634"/>
      <c r="F23" s="634"/>
      <c r="G23" s="634"/>
      <c r="H23" s="634"/>
      <c r="I23" s="1375"/>
      <c r="J23" s="1375"/>
      <c r="K23" s="634"/>
      <c r="L23" s="634"/>
      <c r="M23" s="1375"/>
      <c r="N23" s="1012"/>
      <c r="O23" s="883"/>
      <c r="P23" s="1012"/>
      <c r="Q23" s="931"/>
      <c r="R23" s="1377"/>
      <c r="S23" s="908"/>
      <c r="T23" s="1380"/>
      <c r="U23" s="1417"/>
      <c r="V23" s="46"/>
      <c r="W23" s="37"/>
      <c r="X23" s="50"/>
    </row>
    <row r="24" spans="1:247" ht="16.350000000000001" customHeight="1">
      <c r="A24" s="28" t="s">
        <v>35</v>
      </c>
      <c r="B24" s="634"/>
      <c r="C24" s="634"/>
      <c r="D24" s="634"/>
      <c r="E24" s="634"/>
      <c r="F24" s="634"/>
      <c r="G24" s="634"/>
      <c r="H24" s="634"/>
      <c r="I24" s="1375"/>
      <c r="J24" s="1375"/>
      <c r="K24" s="634"/>
      <c r="L24" s="634"/>
      <c r="M24" s="1375"/>
      <c r="N24" s="1012"/>
      <c r="O24" s="883"/>
      <c r="P24" s="1012"/>
      <c r="Q24" s="931"/>
      <c r="R24" s="1377"/>
      <c r="S24" s="908"/>
      <c r="T24" s="1380"/>
      <c r="U24" s="1417"/>
      <c r="V24" s="46"/>
      <c r="W24" s="37"/>
      <c r="X24" s="50"/>
    </row>
    <row r="25" spans="1:247" ht="16.350000000000001" customHeight="1">
      <c r="A25" s="28" t="s">
        <v>66</v>
      </c>
      <c r="B25" s="634">
        <f>'Exhibit J'!U28</f>
        <v>112</v>
      </c>
      <c r="C25" s="634"/>
      <c r="D25" s="931">
        <f>+'Exhibit J'!AB28</f>
        <v>1380.8</v>
      </c>
      <c r="E25" s="634"/>
      <c r="F25" s="634">
        <f>'Exhibit K'!T24</f>
        <v>9.9000000000000092</v>
      </c>
      <c r="G25" s="634"/>
      <c r="H25" s="634">
        <f>+'Exhibit K'!AA24</f>
        <v>107.7</v>
      </c>
      <c r="I25" s="1375"/>
      <c r="J25" s="1375">
        <f>ROUND(SUM(B25)+SUM(F25),1)</f>
        <v>121.9</v>
      </c>
      <c r="K25" s="634"/>
      <c r="L25" s="931">
        <f>ROUND(SUM(D25)+SUM(H25),1)</f>
        <v>1488.5</v>
      </c>
      <c r="M25" s="1375"/>
      <c r="N25" s="1012">
        <v>10.100000000000009</v>
      </c>
      <c r="O25" s="1012"/>
      <c r="P25" s="1012">
        <f>'Exhibit J'!AE28+'Exhibit K'!AD24</f>
        <v>124.70000000000013</v>
      </c>
      <c r="Q25" s="931"/>
      <c r="R25" s="1377"/>
      <c r="S25" s="634">
        <f>ROUND(SUM(L25-P25),1)</f>
        <v>1363.8</v>
      </c>
      <c r="T25" s="658"/>
      <c r="U25" s="3579">
        <f>ROUND(+S25/P25,3)</f>
        <v>10.936999999999999</v>
      </c>
      <c r="V25" s="46"/>
      <c r="W25" s="37"/>
      <c r="X25" s="50"/>
    </row>
    <row r="26" spans="1:247" ht="16.350000000000001" customHeight="1">
      <c r="A26" s="28" t="s">
        <v>67</v>
      </c>
      <c r="B26" s="634">
        <f>'Exhibit J'!U29</f>
        <v>37.199999999999932</v>
      </c>
      <c r="C26" s="634"/>
      <c r="D26" s="931">
        <f>+'Exhibit J'!AB29</f>
        <v>368</v>
      </c>
      <c r="E26" s="634"/>
      <c r="F26" s="634">
        <f>'Exhibit K'!T25</f>
        <v>48.59999999999993</v>
      </c>
      <c r="G26" s="634"/>
      <c r="H26" s="634">
        <f>+'Exhibit K'!AA25</f>
        <v>380.4</v>
      </c>
      <c r="I26" s="1375"/>
      <c r="J26" s="1375">
        <f>ROUND(SUM(B26)+SUM(F26),1)</f>
        <v>85.8</v>
      </c>
      <c r="K26" s="634"/>
      <c r="L26" s="931">
        <f>ROUND(SUM(D26)+SUM(H26),1)</f>
        <v>748.4</v>
      </c>
      <c r="M26" s="1375"/>
      <c r="N26" s="1012">
        <v>10.099999999999998</v>
      </c>
      <c r="O26" s="1012"/>
      <c r="P26" s="1012">
        <f>'Exhibit J'!AE29+'Exhibit K'!AD25</f>
        <v>410.7</v>
      </c>
      <c r="Q26" s="931"/>
      <c r="R26" s="1377"/>
      <c r="S26" s="634">
        <f>ROUND(SUM(L26-P26),1)</f>
        <v>337.7</v>
      </c>
      <c r="T26" s="658"/>
      <c r="U26" s="3579">
        <f>ROUND(+S26/P26,3)</f>
        <v>0.82199999999999995</v>
      </c>
      <c r="V26" s="46"/>
      <c r="W26" s="37"/>
      <c r="X26" s="50"/>
    </row>
    <row r="27" spans="1:247" ht="16.350000000000001" customHeight="1">
      <c r="A27" s="28" t="s">
        <v>68</v>
      </c>
      <c r="B27" s="634">
        <f>'Exhibit J'!U30</f>
        <v>59.10000000000008</v>
      </c>
      <c r="C27" s="634"/>
      <c r="D27" s="931">
        <f>+'Exhibit J'!AB30</f>
        <v>615.4</v>
      </c>
      <c r="E27" s="931"/>
      <c r="F27" s="634">
        <f>'Exhibit K'!T26</f>
        <v>4.6000000000000059</v>
      </c>
      <c r="G27" s="634"/>
      <c r="H27" s="1381">
        <f>+'Exhibit K'!AA26</f>
        <v>52.6</v>
      </c>
      <c r="I27" s="931"/>
      <c r="J27" s="1375">
        <f>ROUND(SUM(B27)+SUM(F27),1)</f>
        <v>63.7</v>
      </c>
      <c r="K27" s="634"/>
      <c r="L27" s="931">
        <f>ROUND(SUM(D27)+SUM(H27),1)</f>
        <v>668</v>
      </c>
      <c r="M27" s="1375"/>
      <c r="N27" s="1012">
        <v>4.5000000000000036</v>
      </c>
      <c r="O27" s="3434"/>
      <c r="P27" s="1012">
        <f>'Exhibit J'!AE30+'Exhibit K'!AD26</f>
        <v>53.399999999999963</v>
      </c>
      <c r="Q27" s="931"/>
      <c r="R27" s="1377"/>
      <c r="S27" s="634">
        <f>ROUND(SUM(L27-P27),1)</f>
        <v>614.6</v>
      </c>
      <c r="T27" s="658"/>
      <c r="U27" s="3579">
        <f>ROUND(+S27/P27,3)</f>
        <v>11.509</v>
      </c>
      <c r="V27" s="46"/>
      <c r="W27" s="37"/>
      <c r="X27" s="50"/>
    </row>
    <row r="28" spans="1:247" ht="15.75" customHeight="1">
      <c r="A28" s="809" t="s">
        <v>69</v>
      </c>
      <c r="B28" s="634">
        <f>'Exhibit J'!U31</f>
        <v>284.80000000000291</v>
      </c>
      <c r="C28" s="634"/>
      <c r="D28" s="931">
        <f>+'Exhibit J'!AB31</f>
        <v>26734.1</v>
      </c>
      <c r="E28" s="634"/>
      <c r="F28" s="934">
        <v>0</v>
      </c>
      <c r="G28" s="634"/>
      <c r="H28" s="1383">
        <v>0</v>
      </c>
      <c r="I28" s="931"/>
      <c r="J28" s="1375">
        <f>ROUND(SUM(B28)+SUM(F28),1)</f>
        <v>284.8</v>
      </c>
      <c r="K28" s="1177"/>
      <c r="L28" s="931">
        <f>ROUND(SUM(D28)+SUM(H28),1)</f>
        <v>26734.1</v>
      </c>
      <c r="M28" s="1384"/>
      <c r="N28" s="1012">
        <v>5411.4000000000005</v>
      </c>
      <c r="O28" s="1019"/>
      <c r="P28" s="1694">
        <f>'Exhibit J'!AE31</f>
        <v>60079.6</v>
      </c>
      <c r="Q28" s="962"/>
      <c r="R28" s="1385"/>
      <c r="S28" s="634">
        <f>ROUND(SUM(L28-P28),1)</f>
        <v>-33345.5</v>
      </c>
      <c r="T28" s="658"/>
      <c r="U28" s="3579">
        <f>ROUND(+S28/P28,3)</f>
        <v>-0.55500000000000005</v>
      </c>
      <c r="V28" s="56"/>
      <c r="W28" s="37"/>
      <c r="X28" s="50"/>
    </row>
    <row r="29" spans="1:247" ht="15.6">
      <c r="A29" s="26" t="s">
        <v>56</v>
      </c>
      <c r="B29" s="3362">
        <f>ROUND(SUM(B25:B28),1)</f>
        <v>493.1</v>
      </c>
      <c r="C29" s="910"/>
      <c r="D29" s="58">
        <f>ROUND(SUM(D25:D28),1)</f>
        <v>29098.3</v>
      </c>
      <c r="E29" s="910"/>
      <c r="F29" s="58">
        <f>ROUND(SUM(F24:F28),1)</f>
        <v>63.1</v>
      </c>
      <c r="G29" s="910"/>
      <c r="H29" s="58">
        <f>ROUND(SUM(H25:H28),1)</f>
        <v>540.70000000000005</v>
      </c>
      <c r="I29" s="60"/>
      <c r="J29" s="68">
        <f>ROUND(SUM(J25:J28),1)</f>
        <v>556.20000000000005</v>
      </c>
      <c r="K29" s="910"/>
      <c r="L29" s="69">
        <f>ROUND(SUM(L25:L28),1)</f>
        <v>29639</v>
      </c>
      <c r="M29" s="61"/>
      <c r="N29" s="3362">
        <f>ROUND(SUM(N25:N28),1)</f>
        <v>5436.1</v>
      </c>
      <c r="O29" s="109"/>
      <c r="P29" s="3362">
        <f>ROUND(SUM(P25:P28),1)</f>
        <v>60668.4</v>
      </c>
      <c r="Q29" s="73"/>
      <c r="R29" s="332"/>
      <c r="S29" s="58">
        <f>ROUND(SUM(S25:S28),1)</f>
        <v>-31029.4</v>
      </c>
      <c r="T29" s="658"/>
      <c r="U29" s="3580">
        <f>ROUND(+S29/P29,3)</f>
        <v>-0.51100000000000001</v>
      </c>
      <c r="V29" s="56"/>
      <c r="W29" s="37"/>
      <c r="X29" s="50"/>
    </row>
    <row r="30" spans="1:247" ht="15.6">
      <c r="A30" s="26"/>
      <c r="B30" s="634"/>
      <c r="C30" s="634"/>
      <c r="D30" s="634"/>
      <c r="E30" s="634"/>
      <c r="F30" s="634"/>
      <c r="G30" s="634"/>
      <c r="H30" s="634"/>
      <c r="I30" s="1375"/>
      <c r="J30" s="1375"/>
      <c r="K30" s="634"/>
      <c r="L30" s="634"/>
      <c r="M30" s="1375"/>
      <c r="N30" s="1012"/>
      <c r="O30" s="883"/>
      <c r="P30" s="1012"/>
      <c r="Q30" s="931"/>
      <c r="R30" s="1377"/>
      <c r="S30" s="908"/>
      <c r="T30" s="1380"/>
      <c r="U30" s="1417"/>
      <c r="V30" s="46"/>
      <c r="W30" s="37"/>
      <c r="X30" s="50"/>
    </row>
    <row r="31" spans="1:247" ht="16.350000000000001" customHeight="1">
      <c r="A31" s="26" t="s">
        <v>43</v>
      </c>
      <c r="B31" s="634"/>
      <c r="C31" s="634"/>
      <c r="D31" s="634"/>
      <c r="E31" s="634"/>
      <c r="F31" s="634"/>
      <c r="G31" s="634"/>
      <c r="H31" s="634"/>
      <c r="I31" s="1375"/>
      <c r="J31" s="1375"/>
      <c r="K31" s="634"/>
      <c r="L31" s="634"/>
      <c r="M31" s="1375"/>
      <c r="N31" s="1012"/>
      <c r="O31" s="883"/>
      <c r="P31" s="1012"/>
      <c r="Q31" s="931"/>
      <c r="R31" s="1377"/>
      <c r="S31" s="908"/>
      <c r="T31" s="1380"/>
      <c r="U31" s="1417"/>
      <c r="V31" s="46"/>
      <c r="W31" s="37"/>
      <c r="X31" s="50"/>
    </row>
    <row r="32" spans="1:247" ht="15.6">
      <c r="A32" s="26" t="s">
        <v>70</v>
      </c>
      <c r="B32" s="70">
        <f>ROUND(SUM(B21-B29),1)</f>
        <v>37.4</v>
      </c>
      <c r="C32" s="910"/>
      <c r="D32" s="71">
        <f>ROUND(SUM(D21-D29),1)</f>
        <v>-18.399999999999999</v>
      </c>
      <c r="E32" s="910"/>
      <c r="F32" s="71">
        <f>ROUND(SUM(F21-F29),1)</f>
        <v>-22.9</v>
      </c>
      <c r="G32" s="910"/>
      <c r="H32" s="71">
        <f>ROUND(SUM(H21-H29),1)</f>
        <v>-125.5</v>
      </c>
      <c r="I32" s="61"/>
      <c r="J32" s="72">
        <f>ROUND(SUM(J21-J29),1)</f>
        <v>14.5</v>
      </c>
      <c r="K32" s="910"/>
      <c r="L32" s="71">
        <f>ROUND(SUM(L21-L29),1)</f>
        <v>-143.9</v>
      </c>
      <c r="M32" s="61"/>
      <c r="N32" s="110">
        <f>ROUND(SUM(N21-N29),1)</f>
        <v>17.2</v>
      </c>
      <c r="O32" s="112"/>
      <c r="P32" s="110">
        <f>ROUND(SUM(P21-P29),1)</f>
        <v>-192.3</v>
      </c>
      <c r="Q32" s="73"/>
      <c r="R32" s="332"/>
      <c r="S32" s="71">
        <f>ROUND(SUM(S21-S29),1)</f>
        <v>48.4</v>
      </c>
      <c r="T32" s="1380"/>
      <c r="U32" s="1597">
        <f>-ROUND(+S32/P32,3)</f>
        <v>0.252</v>
      </c>
      <c r="V32" s="46"/>
      <c r="W32" s="37"/>
      <c r="X32" s="50"/>
    </row>
    <row r="33" spans="1:247">
      <c r="A33" s="28"/>
      <c r="B33" s="634"/>
      <c r="C33" s="634"/>
      <c r="D33" s="634"/>
      <c r="E33" s="634"/>
      <c r="F33" s="634"/>
      <c r="G33" s="634"/>
      <c r="H33" s="634"/>
      <c r="I33" s="1375"/>
      <c r="J33" s="1375"/>
      <c r="K33" s="634"/>
      <c r="L33" s="634"/>
      <c r="M33" s="1375"/>
      <c r="N33" s="1012"/>
      <c r="O33" s="883"/>
      <c r="P33" s="1012"/>
      <c r="Q33" s="931"/>
      <c r="R33" s="1377"/>
      <c r="S33" s="908"/>
      <c r="T33" s="1380"/>
      <c r="U33" s="1417"/>
      <c r="V33" s="46"/>
      <c r="W33" s="37"/>
      <c r="X33" s="50"/>
    </row>
    <row r="34" spans="1:247" ht="16.350000000000001" customHeight="1">
      <c r="A34" s="26" t="s">
        <v>45</v>
      </c>
      <c r="B34" s="634"/>
      <c r="C34" s="634"/>
      <c r="D34" s="634"/>
      <c r="E34" s="634"/>
      <c r="F34" s="634"/>
      <c r="G34" s="634"/>
      <c r="H34" s="634"/>
      <c r="I34" s="1375"/>
      <c r="J34" s="1375"/>
      <c r="K34" s="634"/>
      <c r="L34" s="634"/>
      <c r="M34" s="1375"/>
      <c r="N34" s="1012"/>
      <c r="O34" s="883"/>
      <c r="P34" s="1012"/>
      <c r="Q34" s="931"/>
      <c r="R34" s="1377"/>
      <c r="S34" s="908"/>
      <c r="T34" s="1380"/>
      <c r="U34" s="1417"/>
      <c r="V34" s="46"/>
      <c r="W34" s="37"/>
      <c r="X34" s="50"/>
    </row>
    <row r="35" spans="1:247" ht="16.350000000000001" customHeight="1">
      <c r="A35" s="28" t="s">
        <v>46</v>
      </c>
      <c r="B35" s="934">
        <f>+'Exhibit J'!U41</f>
        <v>0</v>
      </c>
      <c r="C35" s="634"/>
      <c r="D35" s="934">
        <f>+'Exhibit J'!AB41</f>
        <v>7</v>
      </c>
      <c r="E35" s="634"/>
      <c r="F35" s="634">
        <f>'Exhibit K'!T36</f>
        <v>3</v>
      </c>
      <c r="G35" s="671"/>
      <c r="H35" s="1386">
        <f>+'Exhibit K'!AA36</f>
        <v>95.4</v>
      </c>
      <c r="I35" s="1375"/>
      <c r="J35" s="1375">
        <f>ROUND(SUM(B35)+SUM(F35),1)</f>
        <v>3</v>
      </c>
      <c r="K35" s="671"/>
      <c r="L35" s="1381">
        <f>ROUND(SUM(D35)+SUM(H35),1)</f>
        <v>102.4</v>
      </c>
      <c r="M35" s="931"/>
      <c r="N35" s="1012">
        <v>1.4</v>
      </c>
      <c r="O35" s="1012"/>
      <c r="P35" s="1695">
        <f>'Exhibit J'!AE41+'Exhibit K'!AD36</f>
        <v>92.9</v>
      </c>
      <c r="Q35" s="1382"/>
      <c r="R35" s="1387"/>
      <c r="S35" s="634">
        <f>ROUND(SUM(L35-P35),1)</f>
        <v>9.5</v>
      </c>
      <c r="T35" s="658"/>
      <c r="U35" s="1370">
        <f>ROUND(IF(S35=0,0,S35/(P35)),3)</f>
        <v>0.10199999999999999</v>
      </c>
      <c r="V35" s="77"/>
      <c r="W35" s="37"/>
      <c r="X35" s="50"/>
    </row>
    <row r="36" spans="1:247" s="1693" customFormat="1" ht="16.350000000000001" customHeight="1">
      <c r="A36" s="104" t="s">
        <v>71</v>
      </c>
      <c r="B36" s="2989">
        <f>+'Exhibit J'!U42</f>
        <v>0</v>
      </c>
      <c r="C36" s="1032"/>
      <c r="D36" s="1026">
        <f>+'Exhibit J'!AB42</f>
        <v>0</v>
      </c>
      <c r="E36" s="883"/>
      <c r="F36" s="883">
        <f>'Exhibit K'!T37</f>
        <v>0</v>
      </c>
      <c r="G36" s="883"/>
      <c r="H36" s="1016">
        <f>+'Exhibit K'!AA37</f>
        <v>-5</v>
      </c>
      <c r="I36" s="2990"/>
      <c r="J36" s="1401">
        <f>ROUND(SUM(B36)+SUM(F36),1)</f>
        <v>0</v>
      </c>
      <c r="K36" s="883"/>
      <c r="L36" s="1012">
        <f>ROUND(SUM(D36)+SUM(H36),1)</f>
        <v>-5</v>
      </c>
      <c r="M36" s="1401"/>
      <c r="N36" s="1012">
        <v>0</v>
      </c>
      <c r="O36" s="3434"/>
      <c r="P36" s="1695">
        <f>'Exhibit J'!AE42+'Exhibit K'!AD37</f>
        <v>-3.3</v>
      </c>
      <c r="Q36" s="1695"/>
      <c r="R36" s="2991"/>
      <c r="S36" s="2992">
        <f>-ROUND(SUM(L36-P36),1)</f>
        <v>1.7</v>
      </c>
      <c r="T36" s="640"/>
      <c r="U36" s="3579">
        <f>ROUND(IF(P36=0,1,S36/ABS(P36)),3)</f>
        <v>0.51500000000000001</v>
      </c>
      <c r="V36" s="2993"/>
      <c r="W36" s="2994"/>
      <c r="X36" s="50"/>
    </row>
    <row r="37" spans="1:247" ht="15.6">
      <c r="A37" s="26" t="s">
        <v>48</v>
      </c>
      <c r="B37" s="78">
        <f>ROUND(SUM(B35:B36),1)</f>
        <v>0</v>
      </c>
      <c r="C37" s="79"/>
      <c r="D37" s="78">
        <f>ROUND(SUM(D35:D36),1)</f>
        <v>7</v>
      </c>
      <c r="E37" s="910"/>
      <c r="F37" s="80">
        <f>ROUND(SUM(F35:F36),1)</f>
        <v>3</v>
      </c>
      <c r="G37" s="81"/>
      <c r="H37" s="82">
        <f>ROUND(SUM(H35:H36),1)</f>
        <v>90.4</v>
      </c>
      <c r="I37" s="73"/>
      <c r="J37" s="83">
        <f>ROUND(SUM(J35:J36),1)</f>
        <v>3</v>
      </c>
      <c r="K37" s="81"/>
      <c r="L37" s="82">
        <f>ROUND(SUM(L35:L36),1)</f>
        <v>97.4</v>
      </c>
      <c r="M37" s="61"/>
      <c r="N37" s="3437">
        <f>ROUND(SUM(N35:N36),1)</f>
        <v>1.4</v>
      </c>
      <c r="O37" s="109"/>
      <c r="P37" s="3437">
        <f>ROUND(SUM(P35:P36),1)</f>
        <v>89.6</v>
      </c>
      <c r="Q37" s="970"/>
      <c r="R37" s="976"/>
      <c r="S37" s="80">
        <f>L37-P37</f>
        <v>7.8000000000000114</v>
      </c>
      <c r="T37" s="1388"/>
      <c r="U37" s="282">
        <f>ROUND(SUM(S37/P37),3)</f>
        <v>8.6999999999999994E-2</v>
      </c>
      <c r="V37" s="84"/>
      <c r="W37" s="37"/>
      <c r="X37" s="50"/>
    </row>
    <row r="38" spans="1:247" ht="15.6">
      <c r="A38" s="26"/>
      <c r="B38" s="677"/>
      <c r="C38" s="634"/>
      <c r="D38" s="677"/>
      <c r="E38" s="634"/>
      <c r="F38" s="931"/>
      <c r="G38" s="634"/>
      <c r="H38" s="931"/>
      <c r="I38" s="1375"/>
      <c r="J38" s="1375"/>
      <c r="K38" s="634"/>
      <c r="L38" s="677"/>
      <c r="M38" s="1375"/>
      <c r="N38" s="1012"/>
      <c r="O38" s="883"/>
      <c r="P38" s="1012"/>
      <c r="Q38" s="931"/>
      <c r="R38" s="1377"/>
      <c r="S38" s="908"/>
      <c r="T38" s="1380"/>
      <c r="U38" s="812"/>
      <c r="V38" s="46"/>
      <c r="W38" s="37"/>
      <c r="X38" s="50"/>
    </row>
    <row r="39" spans="1:247" ht="15.75" customHeight="1">
      <c r="A39" s="26" t="s">
        <v>43</v>
      </c>
      <c r="B39" s="634"/>
      <c r="C39" s="634"/>
      <c r="D39" s="634"/>
      <c r="E39" s="634"/>
      <c r="F39" s="883"/>
      <c r="G39" s="634"/>
      <c r="H39" s="634"/>
      <c r="I39" s="1375"/>
      <c r="J39" s="1375"/>
      <c r="K39" s="634"/>
      <c r="L39" s="634"/>
      <c r="M39" s="1375"/>
      <c r="N39" s="1012"/>
      <c r="O39" s="883"/>
      <c r="P39" s="1012"/>
      <c r="Q39" s="931"/>
      <c r="R39" s="1377"/>
      <c r="S39" s="908"/>
      <c r="T39" s="1380"/>
      <c r="U39" s="812"/>
      <c r="V39" s="46"/>
      <c r="W39" s="37"/>
      <c r="X39" s="50"/>
    </row>
    <row r="40" spans="1:247" ht="15.75" customHeight="1">
      <c r="A40" s="26" t="s">
        <v>72</v>
      </c>
      <c r="B40" s="634"/>
      <c r="C40" s="634"/>
      <c r="D40" s="634"/>
      <c r="E40" s="634"/>
      <c r="F40" s="883"/>
      <c r="G40" s="634"/>
      <c r="H40" s="634"/>
      <c r="I40" s="1375"/>
      <c r="J40" s="1375"/>
      <c r="K40" s="634"/>
      <c r="L40" s="634"/>
      <c r="M40" s="1375"/>
      <c r="N40" s="1012"/>
      <c r="O40" s="883"/>
      <c r="P40" s="1012"/>
      <c r="Q40" s="931"/>
      <c r="R40" s="1377"/>
      <c r="S40" s="908"/>
      <c r="T40" s="1380"/>
      <c r="U40" s="812"/>
      <c r="V40" s="46"/>
      <c r="W40" s="37"/>
      <c r="X40" s="50"/>
    </row>
    <row r="41" spans="1:247" ht="15.75" customHeight="1">
      <c r="A41" s="26" t="s">
        <v>73</v>
      </c>
      <c r="B41" s="634"/>
      <c r="C41" s="634"/>
      <c r="D41" s="634"/>
      <c r="E41" s="634"/>
      <c r="F41" s="883"/>
      <c r="G41" s="634"/>
      <c r="H41" s="634"/>
      <c r="I41" s="1375"/>
      <c r="J41" s="1375"/>
      <c r="K41" s="634"/>
      <c r="L41" s="634"/>
      <c r="M41" s="1375"/>
      <c r="N41" s="1012"/>
      <c r="O41" s="883"/>
      <c r="P41" s="1012"/>
      <c r="Q41" s="931"/>
      <c r="R41" s="1377"/>
      <c r="S41" s="908"/>
      <c r="T41" s="1380"/>
      <c r="U41" s="812"/>
      <c r="V41" s="46"/>
      <c r="W41" s="37"/>
      <c r="X41" s="50"/>
    </row>
    <row r="42" spans="1:247" ht="15.75" customHeight="1">
      <c r="A42" s="26" t="s">
        <v>74</v>
      </c>
      <c r="B42" s="86">
        <f>ROUND(SUM(B32,B37),1)</f>
        <v>37.4</v>
      </c>
      <c r="C42" s="910"/>
      <c r="D42" s="86">
        <f>ROUND(SUM(D32,D37),1)</f>
        <v>-11.4</v>
      </c>
      <c r="E42" s="910"/>
      <c r="F42" s="1596">
        <f>ROUND(SUM(F32,F37),1)</f>
        <v>-19.899999999999999</v>
      </c>
      <c r="G42" s="910"/>
      <c r="H42" s="86">
        <f>ROUND(SUM(H32,H37),1)</f>
        <v>-35.1</v>
      </c>
      <c r="I42" s="87"/>
      <c r="J42" s="86">
        <f>ROUND(SUM(J32,J37),1)</f>
        <v>17.5</v>
      </c>
      <c r="K42" s="910"/>
      <c r="L42" s="86">
        <f>ROUND(SUM(L32,L37),1)</f>
        <v>-46.5</v>
      </c>
      <c r="M42" s="61"/>
      <c r="N42" s="1596">
        <f>ROUND(SUM(N32,N37),1)</f>
        <v>18.600000000000001</v>
      </c>
      <c r="O42" s="109"/>
      <c r="P42" s="1596">
        <f>ROUND(SUM(P32,P37),1)</f>
        <v>-102.7</v>
      </c>
      <c r="Q42" s="86"/>
      <c r="R42" s="977"/>
      <c r="S42" s="86">
        <f>ROUND(SUM(S32,S37),1)</f>
        <v>56.2</v>
      </c>
      <c r="T42" s="88"/>
      <c r="U42" s="1485">
        <f>-ROUND(S42/P42,3)</f>
        <v>0.54700000000000004</v>
      </c>
      <c r="V42" s="46"/>
      <c r="W42" s="37"/>
      <c r="X42" s="50"/>
    </row>
    <row r="43" spans="1:247" ht="15.6">
      <c r="A43" s="26"/>
      <c r="B43" s="634"/>
      <c r="C43" s="634"/>
      <c r="D43" s="634"/>
      <c r="E43" s="634"/>
      <c r="F43" s="883"/>
      <c r="G43" s="634"/>
      <c r="H43" s="634"/>
      <c r="I43" s="1375"/>
      <c r="J43" s="1375"/>
      <c r="K43" s="634"/>
      <c r="L43" s="634"/>
      <c r="M43" s="1375"/>
      <c r="N43" s="1012"/>
      <c r="O43" s="883"/>
      <c r="P43" s="1012"/>
      <c r="Q43" s="931"/>
      <c r="R43" s="1377"/>
      <c r="S43" s="908"/>
      <c r="T43" s="1380"/>
      <c r="U43" s="908"/>
      <c r="V43" s="46"/>
      <c r="W43" s="37"/>
      <c r="X43" s="50"/>
    </row>
    <row r="44" spans="1:247" s="62" customFormat="1" ht="15.6">
      <c r="A44" s="26" t="s">
        <v>75</v>
      </c>
      <c r="B44" s="910">
        <f>+'Exhibit J'!U16</f>
        <v>279.2</v>
      </c>
      <c r="C44" s="910"/>
      <c r="D44" s="910">
        <f>+'Exhibit J'!AB16</f>
        <v>328</v>
      </c>
      <c r="E44" s="910"/>
      <c r="F44" s="3440">
        <f>+'Exhibit K'!T14</f>
        <v>-378.7</v>
      </c>
      <c r="G44" s="910"/>
      <c r="H44" s="910">
        <f>+'Exhibit K'!AA14</f>
        <v>-363.5</v>
      </c>
      <c r="I44" s="61"/>
      <c r="J44" s="61">
        <f>ROUND(SUM(B44)+SUM(F44),1)</f>
        <v>-99.5</v>
      </c>
      <c r="K44" s="910"/>
      <c r="L44" s="910">
        <f>ROUND(SUM(D44)+SUM(H44),1)</f>
        <v>-35.5</v>
      </c>
      <c r="M44" s="61"/>
      <c r="N44" s="117">
        <v>-389.09999999999997</v>
      </c>
      <c r="O44" s="109"/>
      <c r="P44" s="110">
        <f>'Exhibit J'!AE16+'Exhibit K'!AD14</f>
        <v>-267.79999999999995</v>
      </c>
      <c r="Q44" s="73"/>
      <c r="R44" s="332"/>
      <c r="S44" s="910">
        <f>ROUND(SUM(L44-P44),1)</f>
        <v>232.3</v>
      </c>
      <c r="T44" s="88"/>
      <c r="U44" s="1485">
        <f>-ROUND(SUM(S44/P44),3)</f>
        <v>0.86699999999999999</v>
      </c>
      <c r="V44" s="88"/>
      <c r="W44" s="89"/>
      <c r="X44" s="50"/>
    </row>
    <row r="45" spans="1:247" ht="16.2" thickBot="1">
      <c r="A45" s="26" t="s">
        <v>76</v>
      </c>
      <c r="B45" s="90">
        <f>ROUND(SUM(B42+B44),1)</f>
        <v>316.60000000000002</v>
      </c>
      <c r="C45" s="91"/>
      <c r="D45" s="90">
        <f>ROUND(SUM(D42+D44),1)</f>
        <v>316.60000000000002</v>
      </c>
      <c r="E45" s="91"/>
      <c r="F45" s="133">
        <f>ROUND(SUM(F42+F44),1)</f>
        <v>-398.6</v>
      </c>
      <c r="G45" s="91"/>
      <c r="H45" s="90">
        <f>ROUND(SUM(H42+H44),1)</f>
        <v>-398.6</v>
      </c>
      <c r="I45" s="92"/>
      <c r="J45" s="93">
        <f>ROUND(SUM(J42+J44),1)</f>
        <v>-82</v>
      </c>
      <c r="K45" s="91"/>
      <c r="L45" s="94">
        <f>ROUND(SUM(L42+L44),1)</f>
        <v>-82</v>
      </c>
      <c r="M45" s="92"/>
      <c r="N45" s="1470">
        <f>ROUND(SUM(N42+N44),1)</f>
        <v>-370.5</v>
      </c>
      <c r="O45" s="132"/>
      <c r="P45" s="1470">
        <f>ROUND(SUM(P42+P44),1)</f>
        <v>-370.5</v>
      </c>
      <c r="Q45" s="216"/>
      <c r="R45" s="324"/>
      <c r="S45" s="95">
        <f>ROUND(SUM(S42+S44),1)</f>
        <v>288.5</v>
      </c>
      <c r="T45" s="1184"/>
      <c r="U45" s="1460">
        <f>ROUND(SUM(S45/ABS(P45)),3)</f>
        <v>0.77900000000000003</v>
      </c>
      <c r="V45" s="49"/>
      <c r="W45" s="37"/>
      <c r="X45" s="50"/>
    </row>
    <row r="46" spans="1:247" ht="4.3499999999999996" customHeight="1" thickTop="1">
      <c r="A46" s="28"/>
      <c r="B46" s="1389"/>
      <c r="C46" s="914"/>
      <c r="D46" s="1389"/>
      <c r="E46" s="914"/>
      <c r="F46" s="1034"/>
      <c r="G46" s="914"/>
      <c r="H46" s="1389"/>
      <c r="I46" s="914"/>
      <c r="J46" s="1389"/>
      <c r="K46" s="914"/>
      <c r="L46" s="1389"/>
      <c r="M46" s="914"/>
      <c r="N46" s="1007"/>
      <c r="O46" s="1005"/>
      <c r="P46" s="1007"/>
      <c r="Q46" s="1184"/>
      <c r="R46" s="1184"/>
      <c r="S46" s="914"/>
      <c r="T46" s="1390"/>
      <c r="U46" s="1391"/>
      <c r="V46" s="97"/>
      <c r="W46" s="50"/>
      <c r="X46" s="50"/>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row>
    <row r="47" spans="1:247">
      <c r="A47" s="679"/>
      <c r="B47" s="35" t="s">
        <v>14</v>
      </c>
      <c r="C47" s="35"/>
      <c r="D47" s="35"/>
      <c r="E47" s="35"/>
      <c r="F47" s="1078"/>
      <c r="G47" s="35"/>
      <c r="H47" s="35"/>
      <c r="I47" s="35"/>
      <c r="J47" s="35"/>
      <c r="K47" s="35"/>
      <c r="L47" s="35"/>
      <c r="M47" s="35"/>
      <c r="N47" s="3439"/>
      <c r="O47" s="3438"/>
      <c r="P47" s="3438"/>
      <c r="Q47" s="35"/>
      <c r="R47" s="100"/>
      <c r="S47" s="35"/>
      <c r="T47" s="41"/>
      <c r="U47" s="37"/>
      <c r="V47" s="41"/>
      <c r="W47" s="37"/>
      <c r="X47" s="37"/>
    </row>
    <row r="48" spans="1:247" s="99" customFormat="1" ht="16.5" customHeight="1">
      <c r="A48" s="1039"/>
      <c r="B48" s="99" t="s">
        <v>14</v>
      </c>
      <c r="N48" s="1692"/>
      <c r="O48" s="1692"/>
      <c r="P48" s="1692"/>
      <c r="R48" s="971"/>
    </row>
    <row r="49" spans="1:21">
      <c r="A49" s="679"/>
      <c r="B49" s="52" t="s">
        <v>14</v>
      </c>
      <c r="C49" s="35"/>
      <c r="D49" s="35"/>
      <c r="E49" s="35"/>
      <c r="F49" s="35"/>
      <c r="G49" s="35"/>
      <c r="H49" s="35"/>
      <c r="I49" s="35"/>
      <c r="J49" s="35"/>
      <c r="K49" s="35"/>
      <c r="L49" s="35"/>
      <c r="M49" s="35"/>
      <c r="N49" s="3439"/>
      <c r="O49" s="3438"/>
      <c r="P49" s="3439"/>
      <c r="Q49" s="35"/>
      <c r="R49" s="100"/>
      <c r="S49" s="35"/>
      <c r="T49" s="100"/>
      <c r="U49" s="35"/>
    </row>
    <row r="50" spans="1:21">
      <c r="A50" s="679"/>
      <c r="B50" s="35"/>
      <c r="C50" s="35"/>
      <c r="D50" s="35"/>
      <c r="E50" s="35"/>
      <c r="F50" s="35"/>
      <c r="G50" s="35"/>
      <c r="H50" s="35"/>
      <c r="I50" s="35"/>
      <c r="J50" s="35"/>
      <c r="K50" s="35"/>
      <c r="L50" s="35"/>
      <c r="M50" s="35"/>
      <c r="N50" s="275" t="s">
        <v>14</v>
      </c>
      <c r="O50" s="3438"/>
      <c r="P50" s="275"/>
      <c r="Q50" s="35"/>
      <c r="R50" s="100"/>
      <c r="S50" s="35"/>
      <c r="T50" s="100"/>
      <c r="U50" s="35"/>
    </row>
    <row r="51" spans="1:21">
      <c r="A51" s="679"/>
      <c r="B51" s="35"/>
      <c r="C51" s="35"/>
      <c r="D51" s="35"/>
      <c r="E51" s="35"/>
      <c r="F51" s="35"/>
      <c r="G51" s="35"/>
      <c r="H51" s="35"/>
      <c r="I51" s="35"/>
      <c r="J51" s="35"/>
      <c r="K51" s="35"/>
      <c r="L51" s="35"/>
      <c r="M51" s="35"/>
      <c r="N51" s="3438" t="s">
        <v>14</v>
      </c>
      <c r="O51" s="3438"/>
      <c r="P51" s="3438"/>
      <c r="Q51" s="35"/>
      <c r="R51" s="100"/>
      <c r="S51" s="35"/>
      <c r="T51" s="100"/>
      <c r="U51" s="35"/>
    </row>
    <row r="52" spans="1:21">
      <c r="A52" s="679"/>
      <c r="B52" s="35"/>
      <c r="C52" s="35"/>
      <c r="D52" s="35"/>
      <c r="E52" s="35"/>
      <c r="F52" s="35"/>
      <c r="G52" s="35"/>
      <c r="H52" s="35"/>
      <c r="I52" s="35"/>
      <c r="J52" s="35"/>
      <c r="K52" s="35"/>
      <c r="L52" s="35"/>
      <c r="M52" s="35"/>
      <c r="N52" s="3438"/>
      <c r="O52" s="3438"/>
      <c r="P52" s="3438"/>
      <c r="Q52" s="35"/>
      <c r="R52" s="100"/>
      <c r="S52" s="35"/>
      <c r="T52" s="100"/>
      <c r="U52" s="35"/>
    </row>
    <row r="53" spans="1:21">
      <c r="A53" s="908"/>
    </row>
    <row r="54" spans="1:21">
      <c r="A54" s="908"/>
    </row>
    <row r="55" spans="1:21">
      <c r="A55" s="908"/>
    </row>
    <row r="56" spans="1:21">
      <c r="A56" s="908"/>
    </row>
    <row r="57" spans="1:21">
      <c r="A57" s="908"/>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81640625" defaultRowHeight="15"/>
  <cols>
    <col min="1" max="1" width="38.08984375" style="876" customWidth="1"/>
    <col min="2" max="2" width="13.81640625" style="876" customWidth="1"/>
    <col min="3" max="3" width="1.81640625" style="876" customWidth="1"/>
    <col min="4" max="4" width="13.81640625" style="876" customWidth="1"/>
    <col min="5" max="5" width="2.453125" style="876" customWidth="1"/>
    <col min="6" max="6" width="13.81640625" style="876" customWidth="1"/>
    <col min="7" max="7" width="1.81640625" style="876" customWidth="1"/>
    <col min="8" max="8" width="13.81640625" style="876" customWidth="1"/>
    <col min="9" max="9" width="1.81640625" style="876" customWidth="1"/>
    <col min="10" max="10" width="13.81640625" style="876" customWidth="1"/>
    <col min="11" max="11" width="1.81640625" style="876" customWidth="1"/>
    <col min="12" max="12" width="13.81640625" style="876" customWidth="1"/>
    <col min="13" max="13" width="0.54296875" style="876" customWidth="1"/>
    <col min="14" max="14" width="13.81640625" style="876" customWidth="1"/>
    <col min="15" max="15" width="2.54296875" style="876" customWidth="1"/>
    <col min="16" max="16" width="13.81640625" style="876" customWidth="1"/>
    <col min="17" max="17" width="1.54296875" style="876" customWidth="1"/>
    <col min="18" max="18" width="2.08984375" style="980" customWidth="1"/>
    <col min="19" max="19" width="10.54296875" style="876" bestFit="1" customWidth="1"/>
    <col min="20" max="20" width="2.453125" style="980" customWidth="1"/>
    <col min="21" max="21" width="11.08984375" style="876" bestFit="1" customWidth="1"/>
    <col min="22" max="16384" width="8.81640625" style="876"/>
  </cols>
  <sheetData>
    <row r="1" spans="1:252">
      <c r="A1" s="635" t="s">
        <v>881</v>
      </c>
    </row>
    <row r="2" spans="1:252">
      <c r="A2" s="813"/>
    </row>
    <row r="3" spans="1:252" s="981" customFormat="1" ht="18" customHeight="1">
      <c r="A3" s="102" t="s">
        <v>0</v>
      </c>
      <c r="B3" s="102"/>
      <c r="C3" s="102"/>
      <c r="D3" s="102"/>
      <c r="E3" s="102"/>
      <c r="F3" s="876"/>
      <c r="G3" s="876"/>
      <c r="H3" s="102"/>
      <c r="I3" s="102"/>
      <c r="J3" s="102"/>
      <c r="K3" s="102"/>
      <c r="L3" s="102"/>
      <c r="M3" s="102"/>
      <c r="N3" s="3431"/>
      <c r="P3" s="996"/>
      <c r="Q3" s="982"/>
      <c r="R3" s="983"/>
      <c r="S3" s="813"/>
      <c r="T3" s="983"/>
      <c r="U3" s="967" t="s">
        <v>77</v>
      </c>
      <c r="V3" s="813"/>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BW3" s="876"/>
      <c r="BX3" s="876"/>
      <c r="BY3" s="876"/>
      <c r="BZ3" s="876"/>
      <c r="CA3" s="876"/>
      <c r="CB3" s="876"/>
      <c r="CC3" s="876"/>
      <c r="CD3" s="876"/>
      <c r="CE3" s="876"/>
      <c r="CF3" s="876"/>
      <c r="CG3" s="876"/>
      <c r="CH3" s="876"/>
      <c r="CI3" s="876"/>
      <c r="CJ3" s="876"/>
      <c r="CK3" s="876"/>
      <c r="CL3" s="876"/>
      <c r="CM3" s="876"/>
      <c r="CN3" s="876"/>
      <c r="CO3" s="876"/>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c r="EC3" s="876"/>
      <c r="ED3" s="876"/>
      <c r="EE3" s="876"/>
      <c r="EF3" s="876"/>
      <c r="EG3" s="876"/>
      <c r="EH3" s="876"/>
      <c r="EI3" s="876"/>
      <c r="EJ3" s="876"/>
      <c r="EK3" s="876"/>
      <c r="EL3" s="876"/>
      <c r="EM3" s="876"/>
      <c r="EN3" s="876"/>
      <c r="EO3" s="876"/>
      <c r="EP3" s="876"/>
      <c r="EQ3" s="876"/>
      <c r="ER3" s="876"/>
      <c r="ES3" s="876"/>
      <c r="ET3" s="876"/>
      <c r="EU3" s="876"/>
      <c r="EV3" s="876"/>
      <c r="EW3" s="876"/>
      <c r="EX3" s="876"/>
      <c r="EY3" s="876"/>
      <c r="EZ3" s="876"/>
      <c r="FA3" s="876"/>
      <c r="FB3" s="876"/>
      <c r="FC3" s="876"/>
      <c r="FD3" s="876"/>
      <c r="FE3" s="876"/>
      <c r="FF3" s="876"/>
      <c r="FG3" s="876"/>
      <c r="FH3" s="876"/>
      <c r="FI3" s="876"/>
      <c r="FJ3" s="876"/>
      <c r="FK3" s="876"/>
      <c r="FL3" s="876"/>
      <c r="FM3" s="876"/>
      <c r="FN3" s="876"/>
      <c r="FO3" s="876"/>
      <c r="FP3" s="876"/>
      <c r="FQ3" s="876"/>
      <c r="FR3" s="876"/>
      <c r="FS3" s="876"/>
      <c r="FT3" s="876"/>
      <c r="FU3" s="876"/>
      <c r="FV3" s="876"/>
      <c r="FW3" s="876"/>
      <c r="FX3" s="876"/>
      <c r="FY3" s="876"/>
      <c r="FZ3" s="876"/>
      <c r="GA3" s="876"/>
      <c r="GB3" s="876"/>
      <c r="GC3" s="876"/>
      <c r="GD3" s="876"/>
      <c r="GE3" s="876"/>
      <c r="GF3" s="876"/>
      <c r="GG3" s="876"/>
      <c r="GH3" s="876"/>
      <c r="GI3" s="876"/>
      <c r="GJ3" s="876"/>
      <c r="GK3" s="876"/>
      <c r="GL3" s="876"/>
      <c r="GM3" s="876"/>
      <c r="GN3" s="876"/>
      <c r="GO3" s="876"/>
      <c r="GP3" s="876"/>
      <c r="GQ3" s="876"/>
      <c r="GR3" s="876"/>
      <c r="GS3" s="876"/>
      <c r="GT3" s="876"/>
      <c r="GU3" s="876"/>
      <c r="GV3" s="876"/>
      <c r="GW3" s="876"/>
      <c r="GX3" s="876"/>
      <c r="GY3" s="876"/>
      <c r="GZ3" s="876"/>
      <c r="HA3" s="876"/>
      <c r="HB3" s="876"/>
      <c r="HC3" s="876"/>
      <c r="HD3" s="876"/>
      <c r="HE3" s="876"/>
      <c r="HF3" s="876"/>
      <c r="HG3" s="876"/>
      <c r="HH3" s="876"/>
      <c r="HI3" s="876"/>
      <c r="HJ3" s="876"/>
      <c r="HK3" s="876"/>
      <c r="HL3" s="876"/>
      <c r="HM3" s="876"/>
      <c r="HN3" s="876"/>
      <c r="HO3" s="876"/>
      <c r="HP3" s="876"/>
      <c r="HQ3" s="876"/>
      <c r="HR3" s="876"/>
      <c r="HS3" s="876"/>
      <c r="HT3" s="876"/>
      <c r="HU3" s="876"/>
      <c r="HV3" s="876"/>
      <c r="HW3" s="876"/>
      <c r="HX3" s="876"/>
      <c r="HY3" s="876"/>
      <c r="HZ3" s="876"/>
      <c r="IA3" s="876"/>
      <c r="IB3" s="876"/>
      <c r="IC3" s="876"/>
      <c r="ID3" s="876"/>
      <c r="IE3" s="876"/>
      <c r="IF3" s="876"/>
      <c r="IG3" s="876"/>
      <c r="IH3" s="876"/>
      <c r="II3" s="876"/>
      <c r="IJ3" s="876"/>
      <c r="IK3" s="876"/>
      <c r="IL3" s="876"/>
      <c r="IM3" s="876"/>
      <c r="IN3" s="876"/>
      <c r="IO3" s="876"/>
      <c r="IP3" s="876"/>
      <c r="IQ3" s="876"/>
      <c r="IR3" s="876"/>
    </row>
    <row r="4" spans="1:252" s="981" customFormat="1" ht="15.75" customHeight="1">
      <c r="A4" s="102" t="s">
        <v>793</v>
      </c>
      <c r="B4" s="102"/>
      <c r="C4" s="102"/>
      <c r="D4" s="102"/>
      <c r="E4" s="102"/>
      <c r="F4" s="876"/>
      <c r="G4" s="876"/>
      <c r="H4" s="102"/>
      <c r="I4" s="102"/>
      <c r="J4" s="102"/>
      <c r="K4" s="102"/>
      <c r="L4" s="102"/>
      <c r="M4" s="102"/>
      <c r="N4" s="102"/>
      <c r="O4" s="102"/>
      <c r="P4" s="102"/>
      <c r="Q4" s="982"/>
      <c r="R4" s="983"/>
      <c r="S4" s="813"/>
      <c r="T4" s="983"/>
      <c r="U4" s="813"/>
      <c r="V4" s="813"/>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c r="BW4" s="876"/>
      <c r="BX4" s="876"/>
      <c r="BY4" s="876"/>
      <c r="BZ4" s="876"/>
      <c r="CA4" s="876"/>
      <c r="CB4" s="876"/>
      <c r="CC4" s="876"/>
      <c r="CD4" s="876"/>
      <c r="CE4" s="876"/>
      <c r="CF4" s="876"/>
      <c r="CG4" s="876"/>
      <c r="CH4" s="876"/>
      <c r="CI4" s="876"/>
      <c r="CJ4" s="876"/>
      <c r="CK4" s="876"/>
      <c r="CL4" s="876"/>
      <c r="CM4" s="876"/>
      <c r="CN4" s="876"/>
      <c r="CO4" s="876"/>
      <c r="CP4" s="876"/>
      <c r="CQ4" s="876"/>
      <c r="CR4" s="876"/>
      <c r="CS4" s="876"/>
      <c r="CT4" s="876"/>
      <c r="CU4" s="876"/>
      <c r="CV4" s="876"/>
      <c r="CW4" s="876"/>
      <c r="CX4" s="876"/>
      <c r="CY4" s="876"/>
      <c r="CZ4" s="876"/>
      <c r="DA4" s="876"/>
      <c r="DB4" s="876"/>
      <c r="DC4" s="876"/>
      <c r="DD4" s="876"/>
      <c r="DE4" s="876"/>
      <c r="DF4" s="876"/>
      <c r="DG4" s="876"/>
      <c r="DH4" s="876"/>
      <c r="DI4" s="876"/>
      <c r="DJ4" s="876"/>
      <c r="DK4" s="876"/>
      <c r="DL4" s="876"/>
      <c r="DM4" s="876"/>
      <c r="DN4" s="876"/>
      <c r="DO4" s="876"/>
      <c r="DP4" s="876"/>
      <c r="DQ4" s="876"/>
      <c r="DR4" s="876"/>
      <c r="DS4" s="876"/>
      <c r="DT4" s="876"/>
      <c r="DU4" s="876"/>
      <c r="DV4" s="876"/>
      <c r="DW4" s="876"/>
      <c r="DX4" s="876"/>
      <c r="DY4" s="876"/>
      <c r="DZ4" s="876"/>
      <c r="EA4" s="876"/>
      <c r="EB4" s="876"/>
      <c r="EC4" s="876"/>
      <c r="ED4" s="876"/>
      <c r="EE4" s="876"/>
      <c r="EF4" s="876"/>
      <c r="EG4" s="876"/>
      <c r="EH4" s="876"/>
      <c r="EI4" s="876"/>
      <c r="EJ4" s="876"/>
      <c r="EK4" s="876"/>
      <c r="EL4" s="876"/>
      <c r="EM4" s="876"/>
      <c r="EN4" s="876"/>
      <c r="EO4" s="876"/>
      <c r="EP4" s="876"/>
      <c r="EQ4" s="876"/>
      <c r="ER4" s="876"/>
      <c r="ES4" s="876"/>
      <c r="ET4" s="876"/>
      <c r="EU4" s="876"/>
      <c r="EV4" s="876"/>
      <c r="EW4" s="876"/>
      <c r="EX4" s="876"/>
      <c r="EY4" s="876"/>
      <c r="EZ4" s="876"/>
      <c r="FA4" s="876"/>
      <c r="FB4" s="876"/>
      <c r="FC4" s="876"/>
      <c r="FD4" s="876"/>
      <c r="FE4" s="876"/>
      <c r="FF4" s="876"/>
      <c r="FG4" s="876"/>
      <c r="FH4" s="876"/>
      <c r="FI4" s="876"/>
      <c r="FJ4" s="876"/>
      <c r="FK4" s="876"/>
      <c r="FL4" s="876"/>
      <c r="FM4" s="876"/>
      <c r="FN4" s="876"/>
      <c r="FO4" s="876"/>
      <c r="FP4" s="876"/>
      <c r="FQ4" s="876"/>
      <c r="FR4" s="876"/>
      <c r="FS4" s="876"/>
      <c r="FT4" s="876"/>
      <c r="FU4" s="876"/>
      <c r="FV4" s="876"/>
      <c r="FW4" s="876"/>
      <c r="FX4" s="876"/>
      <c r="FY4" s="876"/>
      <c r="FZ4" s="876"/>
      <c r="GA4" s="876"/>
      <c r="GB4" s="876"/>
      <c r="GC4" s="876"/>
      <c r="GD4" s="876"/>
      <c r="GE4" s="876"/>
      <c r="GF4" s="876"/>
      <c r="GG4" s="876"/>
      <c r="GH4" s="876"/>
      <c r="GI4" s="876"/>
      <c r="GJ4" s="876"/>
      <c r="GK4" s="876"/>
      <c r="GL4" s="876"/>
      <c r="GM4" s="876"/>
      <c r="GN4" s="876"/>
      <c r="GO4" s="876"/>
      <c r="GP4" s="876"/>
      <c r="GQ4" s="876"/>
      <c r="GR4" s="876"/>
      <c r="GS4" s="876"/>
      <c r="GT4" s="876"/>
      <c r="GU4" s="876"/>
      <c r="GV4" s="876"/>
      <c r="GW4" s="876"/>
      <c r="GX4" s="876"/>
      <c r="GY4" s="876"/>
      <c r="GZ4" s="876"/>
      <c r="HA4" s="876"/>
      <c r="HB4" s="876"/>
      <c r="HC4" s="876"/>
      <c r="HD4" s="876"/>
      <c r="HE4" s="876"/>
      <c r="HF4" s="876"/>
      <c r="HG4" s="876"/>
      <c r="HH4" s="876"/>
      <c r="HI4" s="876"/>
      <c r="HJ4" s="876"/>
      <c r="HK4" s="876"/>
      <c r="HL4" s="876"/>
      <c r="HM4" s="876"/>
      <c r="HN4" s="876"/>
      <c r="HO4" s="876"/>
      <c r="HP4" s="876"/>
      <c r="HQ4" s="876"/>
      <c r="HR4" s="876"/>
      <c r="HS4" s="876"/>
      <c r="HT4" s="876"/>
      <c r="HU4" s="876"/>
      <c r="HV4" s="876"/>
      <c r="HW4" s="876"/>
      <c r="HX4" s="876"/>
      <c r="HY4" s="876"/>
      <c r="HZ4" s="876"/>
      <c r="IA4" s="876"/>
      <c r="IB4" s="876"/>
      <c r="IC4" s="876"/>
      <c r="ID4" s="876"/>
      <c r="IE4" s="876"/>
      <c r="IF4" s="876"/>
      <c r="IG4" s="876"/>
      <c r="IH4" s="876"/>
      <c r="II4" s="876"/>
      <c r="IJ4" s="876"/>
      <c r="IK4" s="876"/>
      <c r="IL4" s="876"/>
      <c r="IM4" s="876"/>
      <c r="IN4" s="876"/>
      <c r="IO4" s="876"/>
      <c r="IP4" s="876"/>
      <c r="IQ4" s="876"/>
      <c r="IR4" s="876"/>
    </row>
    <row r="5" spans="1:252" s="981" customFormat="1" ht="15.75" customHeight="1">
      <c r="A5" s="258" t="s">
        <v>794</v>
      </c>
      <c r="B5" s="102"/>
      <c r="C5" s="102"/>
      <c r="D5" s="102"/>
      <c r="E5" s="102"/>
      <c r="F5" s="876"/>
      <c r="G5" s="876"/>
      <c r="H5" s="102"/>
      <c r="I5" s="102"/>
      <c r="J5" s="102"/>
      <c r="K5" s="102"/>
      <c r="L5" s="102"/>
      <c r="M5" s="102"/>
      <c r="N5" s="102"/>
      <c r="O5" s="102"/>
      <c r="P5" s="102" t="s">
        <v>14</v>
      </c>
      <c r="Q5" s="982"/>
      <c r="R5" s="983"/>
      <c r="S5" s="813"/>
      <c r="T5" s="983"/>
      <c r="U5" s="813"/>
      <c r="V5" s="813"/>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c r="DJ5" s="876"/>
      <c r="DK5" s="876"/>
      <c r="DL5" s="876"/>
      <c r="DM5" s="876"/>
      <c r="DN5" s="876"/>
      <c r="DO5" s="876"/>
      <c r="DP5" s="876"/>
      <c r="DQ5" s="876"/>
      <c r="DR5" s="876"/>
      <c r="DS5" s="876"/>
      <c r="DT5" s="876"/>
      <c r="DU5" s="876"/>
      <c r="DV5" s="876"/>
      <c r="DW5" s="876"/>
      <c r="DX5" s="876"/>
      <c r="DY5" s="876"/>
      <c r="DZ5" s="876"/>
      <c r="EA5" s="876"/>
      <c r="EB5" s="876"/>
      <c r="EC5" s="876"/>
      <c r="ED5" s="876"/>
      <c r="EE5" s="876"/>
      <c r="EF5" s="876"/>
      <c r="EG5" s="876"/>
      <c r="EH5" s="876"/>
      <c r="EI5" s="876"/>
      <c r="EJ5" s="876"/>
      <c r="EK5" s="876"/>
      <c r="EL5" s="876"/>
      <c r="EM5" s="876"/>
      <c r="EN5" s="876"/>
      <c r="EO5" s="876"/>
      <c r="EP5" s="876"/>
      <c r="EQ5" s="876"/>
      <c r="ER5" s="876"/>
      <c r="ES5" s="876"/>
      <c r="ET5" s="876"/>
      <c r="EU5" s="876"/>
      <c r="EV5" s="876"/>
      <c r="EW5" s="876"/>
      <c r="EX5" s="876"/>
      <c r="EY5" s="876"/>
      <c r="EZ5" s="876"/>
      <c r="FA5" s="876"/>
      <c r="FB5" s="876"/>
      <c r="FC5" s="876"/>
      <c r="FD5" s="876"/>
      <c r="FE5" s="876"/>
      <c r="FF5" s="876"/>
      <c r="FG5" s="876"/>
      <c r="FH5" s="876"/>
      <c r="FI5" s="876"/>
      <c r="FJ5" s="876"/>
      <c r="FK5" s="876"/>
      <c r="FL5" s="876"/>
      <c r="FM5" s="876"/>
      <c r="FN5" s="876"/>
      <c r="FO5" s="876"/>
      <c r="FP5" s="876"/>
      <c r="FQ5" s="876"/>
      <c r="FR5" s="876"/>
      <c r="FS5" s="876"/>
      <c r="FT5" s="876"/>
      <c r="FU5" s="876"/>
      <c r="FV5" s="876"/>
      <c r="FW5" s="876"/>
      <c r="FX5" s="876"/>
      <c r="FY5" s="876"/>
      <c r="FZ5" s="876"/>
      <c r="GA5" s="876"/>
      <c r="GB5" s="876"/>
      <c r="GC5" s="876"/>
      <c r="GD5" s="876"/>
      <c r="GE5" s="876"/>
      <c r="GF5" s="876"/>
      <c r="GG5" s="876"/>
      <c r="GH5" s="876"/>
      <c r="GI5" s="876"/>
      <c r="GJ5" s="876"/>
      <c r="GK5" s="876"/>
      <c r="GL5" s="876"/>
      <c r="GM5" s="876"/>
      <c r="GN5" s="876"/>
      <c r="GO5" s="876"/>
      <c r="GP5" s="876"/>
      <c r="GQ5" s="876"/>
      <c r="GR5" s="876"/>
      <c r="GS5" s="876"/>
      <c r="GT5" s="876"/>
      <c r="GU5" s="876"/>
      <c r="GV5" s="876"/>
      <c r="GW5" s="876"/>
      <c r="GX5" s="876"/>
      <c r="GY5" s="876"/>
      <c r="GZ5" s="876"/>
      <c r="HA5" s="876"/>
      <c r="HB5" s="876"/>
      <c r="HC5" s="876"/>
      <c r="HD5" s="876"/>
      <c r="HE5" s="876"/>
      <c r="HF5" s="876"/>
      <c r="HG5" s="876"/>
      <c r="HH5" s="876"/>
      <c r="HI5" s="876"/>
      <c r="HJ5" s="876"/>
      <c r="HK5" s="876"/>
      <c r="HL5" s="876"/>
      <c r="HM5" s="876"/>
      <c r="HN5" s="876"/>
      <c r="HO5" s="876"/>
      <c r="HP5" s="876"/>
      <c r="HQ5" s="876"/>
      <c r="HR5" s="876"/>
      <c r="HS5" s="876"/>
      <c r="HT5" s="876"/>
      <c r="HU5" s="876"/>
      <c r="HV5" s="876"/>
      <c r="HW5" s="876"/>
      <c r="HX5" s="876"/>
      <c r="HY5" s="876"/>
      <c r="HZ5" s="876"/>
      <c r="IA5" s="876"/>
      <c r="IB5" s="876"/>
      <c r="IC5" s="876"/>
      <c r="ID5" s="876"/>
      <c r="IE5" s="876"/>
      <c r="IF5" s="876"/>
      <c r="IG5" s="876"/>
      <c r="IH5" s="876"/>
      <c r="II5" s="876"/>
      <c r="IJ5" s="876"/>
      <c r="IK5" s="876"/>
      <c r="IL5" s="876"/>
      <c r="IM5" s="876"/>
      <c r="IN5" s="876"/>
      <c r="IO5" s="876"/>
      <c r="IP5" s="876"/>
      <c r="IQ5" s="876"/>
      <c r="IR5" s="876"/>
    </row>
    <row r="6" spans="1:252" s="981" customFormat="1" ht="15.75" customHeight="1">
      <c r="A6" s="102" t="s">
        <v>1263</v>
      </c>
      <c r="B6" s="102"/>
      <c r="C6" s="102"/>
      <c r="D6" s="102"/>
      <c r="E6" s="102"/>
      <c r="F6" s="876"/>
      <c r="G6" s="876"/>
      <c r="H6" s="102"/>
      <c r="I6" s="102"/>
      <c r="J6" s="102"/>
      <c r="K6" s="102"/>
      <c r="L6" s="102"/>
      <c r="M6" s="102"/>
      <c r="N6" s="102"/>
      <c r="O6" s="102"/>
      <c r="P6" s="102"/>
      <c r="Q6" s="982"/>
      <c r="R6" s="983"/>
      <c r="S6" s="813"/>
      <c r="T6" s="983"/>
      <c r="U6" s="813"/>
      <c r="V6" s="813"/>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6"/>
      <c r="EJ6" s="876"/>
      <c r="EK6" s="876"/>
      <c r="EL6" s="876"/>
      <c r="EM6" s="876"/>
      <c r="EN6" s="876"/>
      <c r="EO6" s="876"/>
      <c r="EP6" s="876"/>
      <c r="EQ6" s="876"/>
      <c r="ER6" s="876"/>
      <c r="ES6" s="876"/>
      <c r="ET6" s="876"/>
      <c r="EU6" s="876"/>
      <c r="EV6" s="876"/>
      <c r="EW6" s="876"/>
      <c r="EX6" s="876"/>
      <c r="EY6" s="876"/>
      <c r="EZ6" s="876"/>
      <c r="FA6" s="876"/>
      <c r="FB6" s="876"/>
      <c r="FC6" s="876"/>
      <c r="FD6" s="876"/>
      <c r="FE6" s="876"/>
      <c r="FF6" s="876"/>
      <c r="FG6" s="876"/>
      <c r="FH6" s="876"/>
      <c r="FI6" s="876"/>
      <c r="FJ6" s="876"/>
      <c r="FK6" s="876"/>
      <c r="FL6" s="876"/>
      <c r="FM6" s="876"/>
      <c r="FN6" s="876"/>
      <c r="FO6" s="876"/>
      <c r="FP6" s="876"/>
      <c r="FQ6" s="876"/>
      <c r="FR6" s="876"/>
      <c r="FS6" s="876"/>
      <c r="FT6" s="876"/>
      <c r="FU6" s="876"/>
      <c r="FV6" s="876"/>
      <c r="FW6" s="876"/>
      <c r="FX6" s="876"/>
      <c r="FY6" s="876"/>
      <c r="FZ6" s="876"/>
      <c r="GA6" s="876"/>
      <c r="GB6" s="876"/>
      <c r="GC6" s="876"/>
      <c r="GD6" s="876"/>
      <c r="GE6" s="876"/>
      <c r="GF6" s="876"/>
      <c r="GG6" s="876"/>
      <c r="GH6" s="876"/>
      <c r="GI6" s="876"/>
      <c r="GJ6" s="876"/>
      <c r="GK6" s="876"/>
      <c r="GL6" s="876"/>
      <c r="GM6" s="876"/>
      <c r="GN6" s="876"/>
      <c r="GO6" s="876"/>
      <c r="GP6" s="876"/>
      <c r="GQ6" s="876"/>
      <c r="GR6" s="876"/>
      <c r="GS6" s="876"/>
      <c r="GT6" s="876"/>
      <c r="GU6" s="876"/>
      <c r="GV6" s="876"/>
      <c r="GW6" s="876"/>
      <c r="GX6" s="876"/>
      <c r="GY6" s="876"/>
      <c r="GZ6" s="876"/>
      <c r="HA6" s="876"/>
      <c r="HB6" s="876"/>
      <c r="HC6" s="876"/>
      <c r="HD6" s="876"/>
      <c r="HE6" s="876"/>
      <c r="HF6" s="876"/>
      <c r="HG6" s="876"/>
      <c r="HH6" s="876"/>
      <c r="HI6" s="876"/>
      <c r="HJ6" s="876"/>
      <c r="HK6" s="876"/>
      <c r="HL6" s="876"/>
      <c r="HM6" s="876"/>
      <c r="HN6" s="876"/>
      <c r="HO6" s="876"/>
      <c r="HP6" s="876"/>
      <c r="HQ6" s="876"/>
      <c r="HR6" s="876"/>
      <c r="HS6" s="876"/>
      <c r="HT6" s="876"/>
      <c r="HU6" s="876"/>
      <c r="HV6" s="876"/>
      <c r="HW6" s="876"/>
      <c r="HX6" s="876"/>
      <c r="HY6" s="876"/>
      <c r="HZ6" s="876"/>
      <c r="IA6" s="876"/>
      <c r="IB6" s="876"/>
      <c r="IC6" s="876"/>
      <c r="ID6" s="876"/>
      <c r="IE6" s="876"/>
      <c r="IF6" s="876"/>
      <c r="IG6" s="876"/>
      <c r="IH6" s="876"/>
      <c r="II6" s="876"/>
      <c r="IJ6" s="876"/>
      <c r="IK6" s="876"/>
      <c r="IL6" s="876"/>
      <c r="IM6" s="876"/>
      <c r="IN6" s="876"/>
      <c r="IO6" s="876"/>
      <c r="IP6" s="876"/>
      <c r="IQ6" s="876"/>
      <c r="IR6" s="876"/>
    </row>
    <row r="7" spans="1:252" s="981" customFormat="1" ht="15.6">
      <c r="A7" s="105"/>
      <c r="B7" s="102"/>
      <c r="C7" s="102"/>
      <c r="D7" s="102"/>
      <c r="E7" s="102"/>
      <c r="F7" s="876"/>
      <c r="G7" s="876"/>
      <c r="H7" s="102"/>
      <c r="I7" s="102"/>
      <c r="J7" s="102"/>
      <c r="K7" s="102"/>
      <c r="L7" s="102"/>
      <c r="M7" s="102"/>
      <c r="N7" s="102"/>
      <c r="O7" s="102"/>
      <c r="P7" s="102"/>
      <c r="Q7" s="982"/>
      <c r="R7" s="983"/>
      <c r="S7" s="813"/>
      <c r="T7" s="983"/>
      <c r="U7" s="813"/>
      <c r="V7" s="813"/>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c r="BL7" s="876"/>
      <c r="BM7" s="876"/>
      <c r="BN7" s="876"/>
      <c r="BO7" s="876"/>
      <c r="BP7" s="876"/>
      <c r="BQ7" s="876"/>
      <c r="BR7" s="876"/>
      <c r="BS7" s="876"/>
      <c r="BT7" s="876"/>
      <c r="BU7" s="876"/>
      <c r="BV7" s="876"/>
      <c r="BW7" s="876"/>
      <c r="BX7" s="876"/>
      <c r="BY7" s="876"/>
      <c r="BZ7" s="876"/>
      <c r="CA7" s="876"/>
      <c r="CB7" s="876"/>
      <c r="CC7" s="876"/>
      <c r="CD7" s="876"/>
      <c r="CE7" s="876"/>
      <c r="CF7" s="876"/>
      <c r="CG7" s="876"/>
      <c r="CH7" s="876"/>
      <c r="CI7" s="876"/>
      <c r="CJ7" s="876"/>
      <c r="CK7" s="876"/>
      <c r="CL7" s="876"/>
      <c r="CM7" s="876"/>
      <c r="CN7" s="876"/>
      <c r="CO7" s="876"/>
      <c r="CP7" s="876"/>
      <c r="CQ7" s="876"/>
      <c r="CR7" s="876"/>
      <c r="CS7" s="876"/>
      <c r="CT7" s="876"/>
      <c r="CU7" s="876"/>
      <c r="CV7" s="876"/>
      <c r="CW7" s="876"/>
      <c r="CX7" s="876"/>
      <c r="CY7" s="876"/>
      <c r="CZ7" s="876"/>
      <c r="DA7" s="876"/>
      <c r="DB7" s="876"/>
      <c r="DC7" s="876"/>
      <c r="DD7" s="876"/>
      <c r="DE7" s="876"/>
      <c r="DF7" s="876"/>
      <c r="DG7" s="876"/>
      <c r="DH7" s="876"/>
      <c r="DI7" s="876"/>
      <c r="DJ7" s="876"/>
      <c r="DK7" s="876"/>
      <c r="DL7" s="876"/>
      <c r="DM7" s="876"/>
      <c r="DN7" s="876"/>
      <c r="DO7" s="876"/>
      <c r="DP7" s="876"/>
      <c r="DQ7" s="876"/>
      <c r="DR7" s="876"/>
      <c r="DS7" s="876"/>
      <c r="DT7" s="876"/>
      <c r="DU7" s="876"/>
      <c r="DV7" s="876"/>
      <c r="DW7" s="876"/>
      <c r="DX7" s="876"/>
      <c r="DY7" s="876"/>
      <c r="DZ7" s="876"/>
      <c r="EA7" s="876"/>
      <c r="EB7" s="876"/>
      <c r="EC7" s="876"/>
      <c r="ED7" s="876"/>
      <c r="EE7" s="876"/>
      <c r="EF7" s="876"/>
      <c r="EG7" s="876"/>
      <c r="EH7" s="876"/>
      <c r="EI7" s="876"/>
      <c r="EJ7" s="876"/>
      <c r="EK7" s="876"/>
      <c r="EL7" s="876"/>
      <c r="EM7" s="876"/>
      <c r="EN7" s="876"/>
      <c r="EO7" s="876"/>
      <c r="EP7" s="876"/>
      <c r="EQ7" s="876"/>
      <c r="ER7" s="876"/>
      <c r="ES7" s="876"/>
      <c r="ET7" s="876"/>
      <c r="EU7" s="876"/>
      <c r="EV7" s="876"/>
      <c r="EW7" s="876"/>
      <c r="EX7" s="876"/>
      <c r="EY7" s="876"/>
      <c r="EZ7" s="876"/>
      <c r="FA7" s="876"/>
      <c r="FB7" s="876"/>
      <c r="FC7" s="876"/>
      <c r="FD7" s="876"/>
      <c r="FE7" s="876"/>
      <c r="FF7" s="876"/>
      <c r="FG7" s="876"/>
      <c r="FH7" s="876"/>
      <c r="FI7" s="876"/>
      <c r="FJ7" s="876"/>
      <c r="FK7" s="876"/>
      <c r="FL7" s="876"/>
      <c r="FM7" s="876"/>
      <c r="FN7" s="876"/>
      <c r="FO7" s="876"/>
      <c r="FP7" s="876"/>
      <c r="FQ7" s="876"/>
      <c r="FR7" s="876"/>
      <c r="FS7" s="876"/>
      <c r="FT7" s="876"/>
      <c r="FU7" s="876"/>
      <c r="FV7" s="876"/>
      <c r="FW7" s="876"/>
      <c r="FX7" s="876"/>
      <c r="FY7" s="876"/>
      <c r="FZ7" s="876"/>
      <c r="GA7" s="876"/>
      <c r="GB7" s="876"/>
      <c r="GC7" s="876"/>
      <c r="GD7" s="876"/>
      <c r="GE7" s="876"/>
      <c r="GF7" s="876"/>
      <c r="GG7" s="876"/>
      <c r="GH7" s="876"/>
      <c r="GI7" s="876"/>
      <c r="GJ7" s="876"/>
      <c r="GK7" s="876"/>
      <c r="GL7" s="876"/>
      <c r="GM7" s="876"/>
      <c r="GN7" s="876"/>
      <c r="GO7" s="876"/>
      <c r="GP7" s="876"/>
      <c r="GQ7" s="876"/>
      <c r="GR7" s="876"/>
      <c r="GS7" s="876"/>
      <c r="GT7" s="876"/>
      <c r="GU7" s="876"/>
      <c r="GV7" s="876"/>
      <c r="GW7" s="876"/>
      <c r="GX7" s="876"/>
      <c r="GY7" s="876"/>
      <c r="GZ7" s="876"/>
      <c r="HA7" s="876"/>
      <c r="HB7" s="876"/>
      <c r="HC7" s="876"/>
      <c r="HD7" s="876"/>
      <c r="HE7" s="876"/>
      <c r="HF7" s="876"/>
      <c r="HG7" s="876"/>
      <c r="HH7" s="876"/>
      <c r="HI7" s="876"/>
      <c r="HJ7" s="876"/>
      <c r="HK7" s="876"/>
      <c r="HL7" s="876"/>
      <c r="HM7" s="876"/>
      <c r="HN7" s="876"/>
      <c r="HO7" s="876"/>
      <c r="HP7" s="876"/>
      <c r="HQ7" s="876"/>
      <c r="HR7" s="876"/>
      <c r="HS7" s="876"/>
      <c r="HT7" s="876"/>
      <c r="HU7" s="876"/>
      <c r="HV7" s="876"/>
      <c r="HW7" s="876"/>
      <c r="HX7" s="876"/>
      <c r="HY7" s="876"/>
      <c r="HZ7" s="876"/>
      <c r="IA7" s="876"/>
      <c r="IB7" s="876"/>
      <c r="IC7" s="876"/>
      <c r="ID7" s="876"/>
      <c r="IE7" s="876"/>
      <c r="IF7" s="876"/>
      <c r="IG7" s="876"/>
      <c r="IH7" s="876"/>
      <c r="II7" s="876"/>
      <c r="IJ7" s="876"/>
      <c r="IK7" s="876"/>
      <c r="IL7" s="876"/>
      <c r="IM7" s="876"/>
      <c r="IN7" s="876"/>
      <c r="IO7" s="876"/>
      <c r="IP7" s="876"/>
      <c r="IQ7" s="876"/>
      <c r="IR7" s="876"/>
    </row>
    <row r="8" spans="1:252" s="981" customFormat="1" ht="15.6">
      <c r="B8" s="102"/>
      <c r="C8" s="102"/>
      <c r="D8" s="102"/>
      <c r="E8" s="102"/>
      <c r="F8" s="876"/>
      <c r="G8" s="876"/>
      <c r="H8" s="102"/>
      <c r="I8" s="102"/>
      <c r="J8" s="102"/>
      <c r="K8" s="102"/>
      <c r="L8" s="102"/>
      <c r="M8" s="102"/>
      <c r="N8" s="102"/>
      <c r="O8" s="102"/>
      <c r="P8" s="102"/>
      <c r="Q8" s="982"/>
      <c r="R8" s="983"/>
      <c r="S8" s="813"/>
      <c r="T8" s="983"/>
      <c r="U8" s="813"/>
      <c r="V8" s="813"/>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6"/>
      <c r="AY8" s="876"/>
      <c r="AZ8" s="876"/>
      <c r="BA8" s="876"/>
      <c r="BB8" s="876"/>
      <c r="BC8" s="876"/>
      <c r="BD8" s="876"/>
      <c r="BE8" s="876"/>
      <c r="BF8" s="876"/>
      <c r="BG8" s="876"/>
      <c r="BH8" s="876"/>
      <c r="BI8" s="876"/>
      <c r="BJ8" s="876"/>
      <c r="BK8" s="876"/>
      <c r="BL8" s="876"/>
      <c r="BM8" s="876"/>
      <c r="BN8" s="876"/>
      <c r="BO8" s="876"/>
      <c r="BP8" s="876"/>
      <c r="BQ8" s="876"/>
      <c r="BR8" s="876"/>
      <c r="BS8" s="876"/>
      <c r="BT8" s="876"/>
      <c r="BU8" s="876"/>
      <c r="BV8" s="876"/>
      <c r="BW8" s="876"/>
      <c r="BX8" s="876"/>
      <c r="BY8" s="876"/>
      <c r="BZ8" s="876"/>
      <c r="CA8" s="876"/>
      <c r="CB8" s="876"/>
      <c r="CC8" s="876"/>
      <c r="CD8" s="876"/>
      <c r="CE8" s="876"/>
      <c r="CF8" s="876"/>
      <c r="CG8" s="876"/>
      <c r="CH8" s="876"/>
      <c r="CI8" s="876"/>
      <c r="CJ8" s="876"/>
      <c r="CK8" s="876"/>
      <c r="CL8" s="876"/>
      <c r="CM8" s="876"/>
      <c r="CN8" s="876"/>
      <c r="CO8" s="876"/>
      <c r="CP8" s="876"/>
      <c r="CQ8" s="876"/>
      <c r="CR8" s="876"/>
      <c r="CS8" s="876"/>
      <c r="CT8" s="876"/>
      <c r="CU8" s="876"/>
      <c r="CV8" s="876"/>
      <c r="CW8" s="876"/>
      <c r="CX8" s="876"/>
      <c r="CY8" s="876"/>
      <c r="CZ8" s="876"/>
      <c r="DA8" s="876"/>
      <c r="DB8" s="876"/>
      <c r="DC8" s="876"/>
      <c r="DD8" s="876"/>
      <c r="DE8" s="876"/>
      <c r="DF8" s="876"/>
      <c r="DG8" s="876"/>
      <c r="DH8" s="876"/>
      <c r="DI8" s="876"/>
      <c r="DJ8" s="876"/>
      <c r="DK8" s="876"/>
      <c r="DL8" s="876"/>
      <c r="DM8" s="876"/>
      <c r="DN8" s="876"/>
      <c r="DO8" s="876"/>
      <c r="DP8" s="876"/>
      <c r="DQ8" s="876"/>
      <c r="DR8" s="876"/>
      <c r="DS8" s="876"/>
      <c r="DT8" s="876"/>
      <c r="DU8" s="876"/>
      <c r="DV8" s="876"/>
      <c r="DW8" s="876"/>
      <c r="DX8" s="876"/>
      <c r="DY8" s="876"/>
      <c r="DZ8" s="876"/>
      <c r="EA8" s="876"/>
      <c r="EB8" s="876"/>
      <c r="EC8" s="876"/>
      <c r="ED8" s="876"/>
      <c r="EE8" s="876"/>
      <c r="EF8" s="876"/>
      <c r="EG8" s="876"/>
      <c r="EH8" s="876"/>
      <c r="EI8" s="876"/>
      <c r="EJ8" s="876"/>
      <c r="EK8" s="876"/>
      <c r="EL8" s="876"/>
      <c r="EM8" s="876"/>
      <c r="EN8" s="876"/>
      <c r="EO8" s="876"/>
      <c r="EP8" s="876"/>
      <c r="EQ8" s="876"/>
      <c r="ER8" s="876"/>
      <c r="ES8" s="876"/>
      <c r="ET8" s="876"/>
      <c r="EU8" s="876"/>
      <c r="EV8" s="876"/>
      <c r="EW8" s="876"/>
      <c r="EX8" s="876"/>
      <c r="EY8" s="876"/>
      <c r="EZ8" s="876"/>
      <c r="FA8" s="876"/>
      <c r="FB8" s="876"/>
      <c r="FC8" s="876"/>
      <c r="FD8" s="876"/>
      <c r="FE8" s="876"/>
      <c r="FF8" s="876"/>
      <c r="FG8" s="876"/>
      <c r="FH8" s="876"/>
      <c r="FI8" s="876"/>
      <c r="FJ8" s="876"/>
      <c r="FK8" s="876"/>
      <c r="FL8" s="876"/>
      <c r="FM8" s="876"/>
      <c r="FN8" s="876"/>
      <c r="FO8" s="876"/>
      <c r="FP8" s="876"/>
      <c r="FQ8" s="876"/>
      <c r="FR8" s="876"/>
      <c r="FS8" s="876"/>
      <c r="FT8" s="876"/>
      <c r="FU8" s="876"/>
      <c r="FV8" s="876"/>
      <c r="FW8" s="876"/>
      <c r="FX8" s="876"/>
      <c r="FY8" s="876"/>
      <c r="FZ8" s="876"/>
      <c r="GA8" s="876"/>
      <c r="GB8" s="876"/>
      <c r="GC8" s="876"/>
      <c r="GD8" s="876"/>
      <c r="GE8" s="876"/>
      <c r="GF8" s="876"/>
      <c r="GG8" s="876"/>
      <c r="GH8" s="876"/>
      <c r="GI8" s="876"/>
      <c r="GJ8" s="876"/>
      <c r="GK8" s="876"/>
      <c r="GL8" s="876"/>
      <c r="GM8" s="876"/>
      <c r="GN8" s="876"/>
      <c r="GO8" s="876"/>
      <c r="GP8" s="876"/>
      <c r="GQ8" s="876"/>
      <c r="GR8" s="876"/>
      <c r="GS8" s="876"/>
      <c r="GT8" s="876"/>
      <c r="GU8" s="876"/>
      <c r="GV8" s="876"/>
      <c r="GW8" s="876"/>
      <c r="GX8" s="876"/>
      <c r="GY8" s="876"/>
      <c r="GZ8" s="876"/>
      <c r="HA8" s="876"/>
      <c r="HB8" s="876"/>
      <c r="HC8" s="876"/>
      <c r="HD8" s="876"/>
      <c r="HE8" s="876"/>
      <c r="HF8" s="876"/>
      <c r="HG8" s="876"/>
      <c r="HH8" s="876"/>
      <c r="HI8" s="876"/>
      <c r="HJ8" s="876"/>
      <c r="HK8" s="876"/>
      <c r="HL8" s="876"/>
      <c r="HM8" s="876"/>
      <c r="HN8" s="876"/>
      <c r="HO8" s="876"/>
      <c r="HP8" s="876"/>
      <c r="HQ8" s="876"/>
      <c r="HR8" s="876"/>
      <c r="HS8" s="876"/>
      <c r="HT8" s="876"/>
      <c r="HU8" s="876"/>
      <c r="HV8" s="876"/>
      <c r="HW8" s="876"/>
      <c r="HX8" s="876"/>
      <c r="HY8" s="876"/>
      <c r="HZ8" s="876"/>
      <c r="IA8" s="876"/>
      <c r="IB8" s="876"/>
      <c r="IC8" s="876"/>
      <c r="ID8" s="876"/>
      <c r="IE8" s="876"/>
      <c r="IF8" s="876"/>
      <c r="IG8" s="876"/>
      <c r="IH8" s="876"/>
      <c r="II8" s="876"/>
      <c r="IJ8" s="876"/>
      <c r="IK8" s="876"/>
      <c r="IL8" s="876"/>
      <c r="IM8" s="876"/>
      <c r="IN8" s="876"/>
      <c r="IO8" s="876"/>
      <c r="IP8" s="876"/>
      <c r="IQ8" s="876"/>
      <c r="IR8" s="876"/>
    </row>
    <row r="9" spans="1:252" s="981" customFormat="1" ht="8.1" customHeight="1">
      <c r="A9" s="982"/>
      <c r="B9" s="102"/>
      <c r="C9" s="102"/>
      <c r="D9" s="102"/>
      <c r="E9" s="102"/>
      <c r="F9" s="102"/>
      <c r="G9" s="876"/>
      <c r="H9" s="102"/>
      <c r="I9" s="102"/>
      <c r="J9" s="102"/>
      <c r="K9" s="102"/>
      <c r="L9" s="102"/>
      <c r="M9" s="102"/>
      <c r="N9" s="102"/>
      <c r="O9" s="102"/>
      <c r="P9" s="102"/>
      <c r="Q9" s="982"/>
      <c r="R9" s="984"/>
      <c r="S9" s="982"/>
      <c r="T9" s="980"/>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6"/>
      <c r="CK9" s="876"/>
      <c r="CL9" s="876"/>
      <c r="CM9" s="876"/>
      <c r="CN9" s="876"/>
      <c r="CO9" s="876"/>
      <c r="CP9" s="876"/>
      <c r="CQ9" s="876"/>
      <c r="CR9" s="876"/>
      <c r="CS9" s="876"/>
      <c r="CT9" s="876"/>
      <c r="CU9" s="876"/>
      <c r="CV9" s="876"/>
      <c r="CW9" s="876"/>
      <c r="CX9" s="876"/>
      <c r="CY9" s="876"/>
      <c r="CZ9" s="876"/>
      <c r="DA9" s="876"/>
      <c r="DB9" s="876"/>
      <c r="DC9" s="876"/>
      <c r="DD9" s="876"/>
      <c r="DE9" s="876"/>
      <c r="DF9" s="876"/>
      <c r="DG9" s="876"/>
      <c r="DH9" s="876"/>
      <c r="DI9" s="876"/>
      <c r="DJ9" s="876"/>
      <c r="DK9" s="876"/>
      <c r="DL9" s="876"/>
      <c r="DM9" s="876"/>
      <c r="DN9" s="876"/>
      <c r="DO9" s="876"/>
      <c r="DP9" s="876"/>
      <c r="DQ9" s="876"/>
      <c r="DR9" s="876"/>
      <c r="DS9" s="876"/>
      <c r="DT9" s="876"/>
      <c r="DU9" s="876"/>
      <c r="DV9" s="876"/>
      <c r="DW9" s="876"/>
      <c r="DX9" s="876"/>
      <c r="DY9" s="876"/>
      <c r="DZ9" s="876"/>
      <c r="EA9" s="876"/>
      <c r="EB9" s="876"/>
      <c r="EC9" s="876"/>
      <c r="ED9" s="876"/>
      <c r="EE9" s="876"/>
      <c r="EF9" s="876"/>
      <c r="EG9" s="876"/>
      <c r="EH9" s="876"/>
      <c r="EI9" s="876"/>
      <c r="EJ9" s="876"/>
      <c r="EK9" s="876"/>
      <c r="EL9" s="876"/>
      <c r="EM9" s="876"/>
      <c r="EN9" s="876"/>
      <c r="EO9" s="876"/>
      <c r="EP9" s="876"/>
      <c r="EQ9" s="876"/>
      <c r="ER9" s="876"/>
      <c r="ES9" s="876"/>
      <c r="ET9" s="876"/>
      <c r="EU9" s="876"/>
      <c r="EV9" s="876"/>
      <c r="EW9" s="876"/>
      <c r="EX9" s="876"/>
      <c r="EY9" s="876"/>
      <c r="EZ9" s="876"/>
      <c r="FA9" s="876"/>
      <c r="FB9" s="876"/>
      <c r="FC9" s="876"/>
      <c r="FD9" s="876"/>
      <c r="FE9" s="876"/>
      <c r="FF9" s="876"/>
      <c r="FG9" s="876"/>
      <c r="FH9" s="876"/>
      <c r="FI9" s="876"/>
      <c r="FJ9" s="876"/>
      <c r="FK9" s="876"/>
      <c r="FL9" s="876"/>
      <c r="FM9" s="876"/>
      <c r="FN9" s="876"/>
      <c r="FO9" s="876"/>
      <c r="FP9" s="876"/>
      <c r="FQ9" s="876"/>
      <c r="FR9" s="876"/>
      <c r="FS9" s="876"/>
      <c r="FT9" s="876"/>
      <c r="FU9" s="876"/>
      <c r="FV9" s="876"/>
      <c r="FW9" s="876"/>
      <c r="FX9" s="876"/>
      <c r="FY9" s="876"/>
      <c r="FZ9" s="876"/>
      <c r="GA9" s="876"/>
      <c r="GB9" s="876"/>
      <c r="GC9" s="876"/>
      <c r="GD9" s="876"/>
      <c r="GE9" s="876"/>
      <c r="GF9" s="876"/>
      <c r="GG9" s="876"/>
      <c r="GH9" s="876"/>
      <c r="GI9" s="876"/>
      <c r="GJ9" s="876"/>
      <c r="GK9" s="876"/>
      <c r="GL9" s="876"/>
      <c r="GM9" s="876"/>
      <c r="GN9" s="876"/>
      <c r="GO9" s="876"/>
      <c r="GP9" s="876"/>
      <c r="GQ9" s="876"/>
      <c r="GR9" s="876"/>
      <c r="GS9" s="876"/>
      <c r="GT9" s="876"/>
      <c r="GU9" s="876"/>
      <c r="GV9" s="876"/>
      <c r="GW9" s="876"/>
      <c r="GX9" s="876"/>
      <c r="GY9" s="876"/>
      <c r="GZ9" s="876"/>
      <c r="HA9" s="876"/>
      <c r="HB9" s="876"/>
      <c r="HC9" s="876"/>
      <c r="HD9" s="876"/>
      <c r="HE9" s="876"/>
      <c r="HF9" s="876"/>
      <c r="HG9" s="876"/>
      <c r="HH9" s="876"/>
      <c r="HI9" s="876"/>
      <c r="HJ9" s="876"/>
      <c r="HK9" s="876"/>
      <c r="HL9" s="876"/>
      <c r="HM9" s="876"/>
      <c r="HN9" s="876"/>
      <c r="HO9" s="876"/>
      <c r="HP9" s="876"/>
      <c r="HQ9" s="876"/>
      <c r="HR9" s="876"/>
      <c r="HS9" s="876"/>
      <c r="HT9" s="876"/>
      <c r="HU9" s="876"/>
      <c r="HV9" s="876"/>
      <c r="HW9" s="876"/>
      <c r="HX9" s="876"/>
      <c r="HY9" s="876"/>
      <c r="HZ9" s="876"/>
      <c r="IA9" s="876"/>
      <c r="IB9" s="876"/>
      <c r="IC9" s="876"/>
      <c r="ID9" s="876"/>
      <c r="IE9" s="876"/>
      <c r="IF9" s="876"/>
      <c r="IG9" s="876"/>
      <c r="IH9" s="876"/>
      <c r="II9" s="876"/>
      <c r="IJ9" s="876"/>
      <c r="IK9" s="876"/>
      <c r="IL9" s="876"/>
      <c r="IM9" s="876"/>
      <c r="IN9" s="876"/>
      <c r="IO9" s="876"/>
      <c r="IP9" s="876"/>
      <c r="IQ9" s="876"/>
      <c r="IR9" s="876"/>
    </row>
    <row r="10" spans="1:252" s="981" customFormat="1" ht="15.6">
      <c r="A10" s="982"/>
      <c r="B10" s="102"/>
      <c r="C10" s="102"/>
      <c r="D10" s="102"/>
      <c r="E10" s="102"/>
      <c r="F10" s="102"/>
      <c r="G10" s="876"/>
      <c r="H10" s="102"/>
      <c r="I10" s="102"/>
      <c r="J10" s="102"/>
      <c r="K10" s="102"/>
      <c r="L10" s="102"/>
      <c r="M10" s="102"/>
      <c r="N10" s="102"/>
      <c r="O10" s="102"/>
      <c r="P10" s="102"/>
      <c r="Q10" s="982"/>
      <c r="R10" s="983"/>
      <c r="S10" s="813"/>
      <c r="T10" s="983"/>
      <c r="U10" s="813"/>
      <c r="V10" s="813"/>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6"/>
      <c r="CE10" s="876"/>
      <c r="CF10" s="876"/>
      <c r="CG10" s="876"/>
      <c r="CH10" s="876"/>
      <c r="CI10" s="876"/>
      <c r="CJ10" s="876"/>
      <c r="CK10" s="876"/>
      <c r="CL10" s="876"/>
      <c r="CM10" s="876"/>
      <c r="CN10" s="876"/>
      <c r="CO10" s="876"/>
      <c r="CP10" s="876"/>
      <c r="CQ10" s="876"/>
      <c r="CR10" s="876"/>
      <c r="CS10" s="876"/>
      <c r="CT10" s="876"/>
      <c r="CU10" s="876"/>
      <c r="CV10" s="876"/>
      <c r="CW10" s="876"/>
      <c r="CX10" s="876"/>
      <c r="CY10" s="876"/>
      <c r="CZ10" s="876"/>
      <c r="DA10" s="876"/>
      <c r="DB10" s="876"/>
      <c r="DC10" s="876"/>
      <c r="DD10" s="876"/>
      <c r="DE10" s="876"/>
      <c r="DF10" s="876"/>
      <c r="DG10" s="876"/>
      <c r="DH10" s="876"/>
      <c r="DI10" s="876"/>
      <c r="DJ10" s="876"/>
      <c r="DK10" s="876"/>
      <c r="DL10" s="876"/>
      <c r="DM10" s="876"/>
      <c r="DN10" s="876"/>
      <c r="DO10" s="876"/>
      <c r="DP10" s="876"/>
      <c r="DQ10" s="876"/>
      <c r="DR10" s="876"/>
      <c r="DS10" s="876"/>
      <c r="DT10" s="876"/>
      <c r="DU10" s="876"/>
      <c r="DV10" s="876"/>
      <c r="DW10" s="876"/>
      <c r="DX10" s="876"/>
      <c r="DY10" s="876"/>
      <c r="DZ10" s="876"/>
      <c r="EA10" s="876"/>
      <c r="EB10" s="876"/>
      <c r="EC10" s="876"/>
      <c r="ED10" s="876"/>
      <c r="EE10" s="876"/>
      <c r="EF10" s="876"/>
      <c r="EG10" s="876"/>
      <c r="EH10" s="876"/>
      <c r="EI10" s="876"/>
      <c r="EJ10" s="876"/>
      <c r="EK10" s="876"/>
      <c r="EL10" s="876"/>
      <c r="EM10" s="876"/>
      <c r="EN10" s="876"/>
      <c r="EO10" s="876"/>
      <c r="EP10" s="876"/>
      <c r="EQ10" s="876"/>
      <c r="ER10" s="876"/>
      <c r="ES10" s="876"/>
      <c r="ET10" s="876"/>
      <c r="EU10" s="876"/>
      <c r="EV10" s="876"/>
      <c r="EW10" s="876"/>
      <c r="EX10" s="876"/>
      <c r="EY10" s="876"/>
      <c r="EZ10" s="876"/>
      <c r="FA10" s="876"/>
      <c r="FB10" s="876"/>
      <c r="FC10" s="876"/>
      <c r="FD10" s="876"/>
      <c r="FE10" s="876"/>
      <c r="FF10" s="876"/>
      <c r="FG10" s="876"/>
      <c r="FH10" s="876"/>
      <c r="FI10" s="876"/>
      <c r="FJ10" s="876"/>
      <c r="FK10" s="876"/>
      <c r="FL10" s="876"/>
      <c r="FM10" s="876"/>
      <c r="FN10" s="876"/>
      <c r="FO10" s="876"/>
      <c r="FP10" s="876"/>
      <c r="FQ10" s="876"/>
      <c r="FR10" s="876"/>
      <c r="FS10" s="876"/>
      <c r="FT10" s="876"/>
      <c r="FU10" s="876"/>
      <c r="FV10" s="876"/>
      <c r="FW10" s="876"/>
      <c r="FX10" s="876"/>
      <c r="FY10" s="876"/>
      <c r="FZ10" s="876"/>
      <c r="GA10" s="876"/>
      <c r="GB10" s="876"/>
      <c r="GC10" s="876"/>
      <c r="GD10" s="876"/>
      <c r="GE10" s="876"/>
      <c r="GF10" s="876"/>
      <c r="GG10" s="876"/>
      <c r="GH10" s="876"/>
      <c r="GI10" s="876"/>
      <c r="GJ10" s="876"/>
      <c r="GK10" s="876"/>
      <c r="GL10" s="876"/>
      <c r="GM10" s="876"/>
      <c r="GN10" s="876"/>
      <c r="GO10" s="876"/>
      <c r="GP10" s="876"/>
      <c r="GQ10" s="876"/>
      <c r="GR10" s="876"/>
      <c r="GS10" s="876"/>
      <c r="GT10" s="876"/>
      <c r="GU10" s="876"/>
      <c r="GV10" s="876"/>
      <c r="GW10" s="876"/>
      <c r="GX10" s="876"/>
      <c r="GY10" s="876"/>
      <c r="GZ10" s="876"/>
      <c r="HA10" s="876"/>
      <c r="HB10" s="876"/>
      <c r="HC10" s="876"/>
      <c r="HD10" s="876"/>
      <c r="HE10" s="876"/>
      <c r="HF10" s="876"/>
      <c r="HG10" s="876"/>
      <c r="HH10" s="876"/>
      <c r="HI10" s="876"/>
      <c r="HJ10" s="876"/>
      <c r="HK10" s="876"/>
      <c r="HL10" s="876"/>
      <c r="HM10" s="876"/>
      <c r="HN10" s="876"/>
      <c r="HO10" s="876"/>
      <c r="HP10" s="876"/>
      <c r="HQ10" s="876"/>
      <c r="HR10" s="876"/>
      <c r="HS10" s="876"/>
      <c r="HT10" s="876"/>
      <c r="HU10" s="876"/>
      <c r="HV10" s="876"/>
      <c r="HW10" s="876"/>
      <c r="HX10" s="876"/>
      <c r="HY10" s="876"/>
      <c r="HZ10" s="876"/>
      <c r="IA10" s="876"/>
      <c r="IB10" s="876"/>
      <c r="IC10" s="876"/>
      <c r="ID10" s="876"/>
      <c r="IE10" s="876"/>
      <c r="IF10" s="876"/>
      <c r="IG10" s="876"/>
      <c r="IH10" s="876"/>
      <c r="II10" s="876"/>
      <c r="IJ10" s="876"/>
      <c r="IK10" s="876"/>
      <c r="IL10" s="876"/>
      <c r="IM10" s="876"/>
      <c r="IN10" s="876"/>
      <c r="IO10" s="876"/>
      <c r="IP10" s="876"/>
      <c r="IQ10" s="876"/>
      <c r="IR10" s="876"/>
    </row>
    <row r="11" spans="1:252" s="981" customFormat="1" ht="15.6">
      <c r="A11" s="982"/>
      <c r="B11" s="102"/>
      <c r="C11" s="102"/>
      <c r="D11" s="102"/>
      <c r="E11" s="102"/>
      <c r="F11" s="102"/>
      <c r="G11" s="876"/>
      <c r="H11" s="102"/>
      <c r="I11" s="102"/>
      <c r="K11" s="107"/>
      <c r="L11" s="877"/>
      <c r="M11" s="877"/>
      <c r="N11" s="107"/>
      <c r="O11" s="107"/>
      <c r="P11" s="107"/>
      <c r="Q11" s="982"/>
      <c r="R11" s="983"/>
      <c r="S11" s="813"/>
      <c r="T11" s="983"/>
      <c r="U11" s="813"/>
      <c r="V11" s="813"/>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6"/>
      <c r="AY11" s="876"/>
      <c r="AZ11" s="876"/>
      <c r="BA11" s="876"/>
      <c r="BB11" s="876"/>
      <c r="BC11" s="876"/>
      <c r="BD11" s="876"/>
      <c r="BE11" s="876"/>
      <c r="BF11" s="876"/>
      <c r="BG11" s="876"/>
      <c r="BH11" s="876"/>
      <c r="BI11" s="876"/>
      <c r="BJ11" s="876"/>
      <c r="BK11" s="876"/>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6"/>
      <c r="CK11" s="876"/>
      <c r="CL11" s="876"/>
      <c r="CM11" s="876"/>
      <c r="CN11" s="876"/>
      <c r="CO11" s="876"/>
      <c r="CP11" s="876"/>
      <c r="CQ11" s="876"/>
      <c r="CR11" s="876"/>
      <c r="CS11" s="876"/>
      <c r="CT11" s="876"/>
      <c r="CU11" s="876"/>
      <c r="CV11" s="876"/>
      <c r="CW11" s="876"/>
      <c r="CX11" s="876"/>
      <c r="CY11" s="876"/>
      <c r="CZ11" s="876"/>
      <c r="DA11" s="876"/>
      <c r="DB11" s="876"/>
      <c r="DC11" s="876"/>
      <c r="DD11" s="876"/>
      <c r="DE11" s="876"/>
      <c r="DF11" s="876"/>
      <c r="DG11" s="876"/>
      <c r="DH11" s="876"/>
      <c r="DI11" s="876"/>
      <c r="DJ11" s="876"/>
      <c r="DK11" s="876"/>
      <c r="DL11" s="876"/>
      <c r="DM11" s="876"/>
      <c r="DN11" s="876"/>
      <c r="DO11" s="876"/>
      <c r="DP11" s="876"/>
      <c r="DQ11" s="876"/>
      <c r="DR11" s="876"/>
      <c r="DS11" s="876"/>
      <c r="DT11" s="876"/>
      <c r="DU11" s="876"/>
      <c r="DV11" s="876"/>
      <c r="DW11" s="876"/>
      <c r="DX11" s="876"/>
      <c r="DY11" s="876"/>
      <c r="DZ11" s="876"/>
      <c r="EA11" s="876"/>
      <c r="EB11" s="876"/>
      <c r="EC11" s="876"/>
      <c r="ED11" s="876"/>
      <c r="EE11" s="876"/>
      <c r="EF11" s="876"/>
      <c r="EG11" s="876"/>
      <c r="EH11" s="876"/>
      <c r="EI11" s="876"/>
      <c r="EJ11" s="876"/>
      <c r="EK11" s="876"/>
      <c r="EL11" s="876"/>
      <c r="EM11" s="876"/>
      <c r="EN11" s="876"/>
      <c r="EO11" s="876"/>
      <c r="EP11" s="876"/>
      <c r="EQ11" s="876"/>
      <c r="ER11" s="876"/>
      <c r="ES11" s="876"/>
      <c r="ET11" s="876"/>
      <c r="EU11" s="876"/>
      <c r="EV11" s="876"/>
      <c r="EW11" s="876"/>
      <c r="EX11" s="876"/>
      <c r="EY11" s="876"/>
      <c r="EZ11" s="876"/>
      <c r="FA11" s="876"/>
      <c r="FB11" s="876"/>
      <c r="FC11" s="876"/>
      <c r="FD11" s="876"/>
      <c r="FE11" s="876"/>
      <c r="FF11" s="876"/>
      <c r="FG11" s="876"/>
      <c r="FH11" s="876"/>
      <c r="FI11" s="876"/>
      <c r="FJ11" s="876"/>
      <c r="FK11" s="876"/>
      <c r="FL11" s="876"/>
      <c r="FM11" s="876"/>
      <c r="FN11" s="876"/>
      <c r="FO11" s="876"/>
      <c r="FP11" s="876"/>
      <c r="FQ11" s="876"/>
      <c r="FR11" s="876"/>
      <c r="FS11" s="876"/>
      <c r="FT11" s="876"/>
      <c r="FU11" s="876"/>
      <c r="FV11" s="876"/>
      <c r="FW11" s="876"/>
      <c r="FX11" s="876"/>
      <c r="FY11" s="876"/>
      <c r="FZ11" s="876"/>
      <c r="GA11" s="876"/>
      <c r="GB11" s="876"/>
      <c r="GC11" s="876"/>
      <c r="GD11" s="876"/>
      <c r="GE11" s="876"/>
      <c r="GF11" s="876"/>
      <c r="GG11" s="876"/>
      <c r="GH11" s="876"/>
      <c r="GI11" s="876"/>
      <c r="GJ11" s="876"/>
      <c r="GK11" s="876"/>
      <c r="GL11" s="876"/>
      <c r="GM11" s="876"/>
      <c r="GN11" s="876"/>
      <c r="GO11" s="876"/>
      <c r="GP11" s="876"/>
      <c r="GQ11" s="876"/>
      <c r="GR11" s="876"/>
      <c r="GS11" s="876"/>
      <c r="GT11" s="876"/>
      <c r="GU11" s="876"/>
      <c r="GV11" s="876"/>
      <c r="GW11" s="876"/>
      <c r="GX11" s="876"/>
      <c r="GY11" s="876"/>
      <c r="GZ11" s="876"/>
      <c r="HA11" s="876"/>
      <c r="HB11" s="876"/>
      <c r="HC11" s="876"/>
      <c r="HD11" s="876"/>
      <c r="HE11" s="876"/>
      <c r="HF11" s="876"/>
      <c r="HG11" s="876"/>
      <c r="HH11" s="876"/>
      <c r="HI11" s="876"/>
      <c r="HJ11" s="876"/>
      <c r="HK11" s="876"/>
      <c r="HL11" s="876"/>
      <c r="HM11" s="876"/>
      <c r="HN11" s="876"/>
      <c r="HO11" s="876"/>
      <c r="HP11" s="876"/>
      <c r="HQ11" s="876"/>
      <c r="HR11" s="876"/>
      <c r="HS11" s="876"/>
      <c r="HT11" s="876"/>
      <c r="HU11" s="876"/>
      <c r="HV11" s="876"/>
      <c r="HW11" s="876"/>
      <c r="HX11" s="876"/>
      <c r="HY11" s="876"/>
      <c r="HZ11" s="876"/>
      <c r="IA11" s="876"/>
      <c r="IB11" s="876"/>
      <c r="IC11" s="876"/>
      <c r="ID11" s="876"/>
      <c r="IE11" s="876"/>
      <c r="IF11" s="876"/>
      <c r="IG11" s="876"/>
      <c r="IH11" s="876"/>
      <c r="II11" s="876"/>
      <c r="IJ11" s="876"/>
      <c r="IK11" s="876"/>
      <c r="IL11" s="876"/>
      <c r="IM11" s="876"/>
      <c r="IN11" s="876"/>
      <c r="IO11" s="876"/>
      <c r="IP11" s="876"/>
      <c r="IQ11" s="876"/>
      <c r="IR11" s="876"/>
    </row>
    <row r="12" spans="1:252" ht="16.350000000000001" customHeight="1">
      <c r="A12" s="982"/>
      <c r="B12" s="107" t="s">
        <v>78</v>
      </c>
      <c r="C12" s="985"/>
      <c r="D12" s="107"/>
      <c r="E12" s="102"/>
      <c r="F12" s="107" t="s">
        <v>79</v>
      </c>
      <c r="G12" s="985"/>
      <c r="H12" s="107"/>
      <c r="I12" s="102"/>
      <c r="J12" s="107" t="s">
        <v>80</v>
      </c>
      <c r="K12" s="107"/>
      <c r="L12" s="877"/>
      <c r="M12" s="107"/>
      <c r="N12" s="107"/>
      <c r="O12" s="107"/>
      <c r="P12" s="107"/>
      <c r="Q12" s="982"/>
      <c r="R12" s="986"/>
      <c r="S12" s="3962" t="s">
        <v>813</v>
      </c>
      <c r="T12" s="3962"/>
      <c r="U12" s="3962"/>
      <c r="V12" s="813"/>
    </row>
    <row r="13" spans="1:252" ht="13.35" customHeight="1">
      <c r="A13" s="982"/>
      <c r="B13" s="987"/>
      <c r="C13" s="987"/>
      <c r="D13" s="987"/>
      <c r="E13" s="982"/>
      <c r="F13" s="987"/>
      <c r="G13" s="988"/>
      <c r="H13" s="987"/>
      <c r="I13" s="982"/>
      <c r="J13" s="987"/>
      <c r="K13" s="987"/>
      <c r="L13" s="987"/>
      <c r="M13" s="987"/>
      <c r="N13" s="987"/>
      <c r="O13" s="987"/>
      <c r="P13" s="987"/>
      <c r="Q13" s="982"/>
      <c r="R13" s="989"/>
      <c r="S13" s="982"/>
      <c r="T13" s="990"/>
      <c r="U13" s="812"/>
      <c r="V13" s="813"/>
    </row>
    <row r="14" spans="1:252" ht="16.350000000000001" customHeight="1">
      <c r="A14" s="982"/>
      <c r="B14" s="729" t="s">
        <v>6</v>
      </c>
      <c r="C14" s="102"/>
      <c r="D14" s="730" t="str">
        <f>'Exhibit A'!F11</f>
        <v>10 MOS. ENDED</v>
      </c>
      <c r="E14" s="102"/>
      <c r="F14" s="729" t="s">
        <v>6</v>
      </c>
      <c r="G14" s="731"/>
      <c r="H14" s="729" t="str">
        <f>D14</f>
        <v>10 MOS. ENDED</v>
      </c>
      <c r="I14" s="102"/>
      <c r="J14" s="729" t="s">
        <v>6</v>
      </c>
      <c r="K14" s="102"/>
      <c r="L14" s="729" t="str">
        <f>D14</f>
        <v>10 MOS. ENDED</v>
      </c>
      <c r="M14" s="102"/>
      <c r="N14" s="729" t="s">
        <v>6</v>
      </c>
      <c r="O14" s="102"/>
      <c r="P14" s="729" t="str">
        <f>H14</f>
        <v>10 MOS. ENDED</v>
      </c>
      <c r="Q14" s="982"/>
      <c r="R14" s="989"/>
      <c r="S14" s="3254" t="s">
        <v>7</v>
      </c>
      <c r="T14" s="207"/>
      <c r="U14" s="738" t="s">
        <v>8</v>
      </c>
      <c r="V14" s="813"/>
    </row>
    <row r="15" spans="1:252" ht="16.350000000000001" customHeight="1">
      <c r="A15" s="982"/>
      <c r="B15" s="893" t="str">
        <f>'Exhibit A'!D12</f>
        <v>JAN. 2022</v>
      </c>
      <c r="C15" s="102"/>
      <c r="D15" s="893" t="str">
        <f>'Exhibit A'!F12</f>
        <v>JAN. 31, 2022</v>
      </c>
      <c r="E15" s="102"/>
      <c r="F15" s="732" t="str">
        <f>+B15</f>
        <v>JAN. 2022</v>
      </c>
      <c r="G15" s="102"/>
      <c r="H15" s="733" t="str">
        <f>D15</f>
        <v>JAN. 31, 2022</v>
      </c>
      <c r="I15" s="102"/>
      <c r="J15" s="732" t="str">
        <f>+F15</f>
        <v>JAN. 2022</v>
      </c>
      <c r="K15" s="102"/>
      <c r="L15" s="733" t="str">
        <f>'Exhibit A'!X12</f>
        <v>JAN. 31, 2022</v>
      </c>
      <c r="M15" s="102"/>
      <c r="N15" s="3432" t="str">
        <f>'Exhibit A'!AB12</f>
        <v>JAN. 2021</v>
      </c>
      <c r="O15" s="102"/>
      <c r="P15" s="893" t="str">
        <f>'Exhibit A'!AD12</f>
        <v>JAN. 31, 2021</v>
      </c>
      <c r="Q15" s="982"/>
      <c r="R15" s="989"/>
      <c r="S15" s="3255" t="s">
        <v>11</v>
      </c>
      <c r="T15" s="206"/>
      <c r="U15" s="741" t="s">
        <v>12</v>
      </c>
      <c r="V15" s="813"/>
    </row>
    <row r="16" spans="1:252" ht="13.35" customHeight="1">
      <c r="A16" s="982"/>
      <c r="B16" s="984"/>
      <c r="C16" s="982"/>
      <c r="D16" s="984" t="s">
        <v>14</v>
      </c>
      <c r="E16" s="982"/>
      <c r="F16" s="987"/>
      <c r="G16" s="982"/>
      <c r="H16" s="991" t="s">
        <v>14</v>
      </c>
      <c r="I16" s="984"/>
      <c r="J16" s="992"/>
      <c r="K16" s="982"/>
      <c r="L16" s="993"/>
      <c r="M16" s="984"/>
      <c r="N16" s="984"/>
      <c r="O16" s="982"/>
      <c r="P16" s="984"/>
      <c r="Q16" s="982"/>
      <c r="R16" s="994"/>
      <c r="S16" s="813"/>
      <c r="T16" s="984"/>
      <c r="U16" s="813"/>
      <c r="V16" s="813"/>
    </row>
    <row r="17" spans="1:245" ht="16.350000000000001" customHeight="1">
      <c r="A17" s="102" t="s">
        <v>13</v>
      </c>
      <c r="B17" s="995"/>
      <c r="C17" s="995"/>
      <c r="D17" s="995"/>
      <c r="E17" s="995"/>
      <c r="F17" s="996"/>
      <c r="G17" s="995"/>
      <c r="H17" s="997"/>
      <c r="I17" s="996"/>
      <c r="J17" s="998"/>
      <c r="K17" s="995"/>
      <c r="L17" s="997"/>
      <c r="M17" s="996"/>
      <c r="N17" s="996"/>
      <c r="O17" s="995"/>
      <c r="P17" s="996"/>
      <c r="Q17" s="982"/>
      <c r="R17" s="999"/>
      <c r="S17" s="813"/>
      <c r="T17" s="996"/>
      <c r="U17" s="813"/>
      <c r="V17" s="813"/>
    </row>
    <row r="18" spans="1:245" ht="16.350000000000001" customHeight="1">
      <c r="A18" s="982" t="s">
        <v>19</v>
      </c>
      <c r="B18" s="1000">
        <f>+'Exhibit L'!T16</f>
        <v>10.69999999999999</v>
      </c>
      <c r="C18" s="882"/>
      <c r="D18" s="881">
        <f>+'Exhibit L'!AA16</f>
        <v>118.3</v>
      </c>
      <c r="E18" s="882"/>
      <c r="F18" s="1001">
        <f>'Exhibit M'!T16</f>
        <v>0</v>
      </c>
      <c r="G18" s="882"/>
      <c r="H18" s="1002">
        <f>+'Exhibit M'!AA16</f>
        <v>5.2</v>
      </c>
      <c r="I18" s="1003"/>
      <c r="J18" s="1004">
        <f>SUM(B18)+SUM(F18)</f>
        <v>10.69999999999999</v>
      </c>
      <c r="K18" s="882"/>
      <c r="L18" s="1002">
        <f>D18+SUM(H18)</f>
        <v>123.5</v>
      </c>
      <c r="M18" s="1003"/>
      <c r="N18" s="3433">
        <v>5.6999999999999993</v>
      </c>
      <c r="O18" s="882"/>
      <c r="P18" s="3433">
        <f>'Exhibit L'!AD16+'Exhibit M'!AD16</f>
        <v>100.89999999999999</v>
      </c>
      <c r="Q18" s="1005"/>
      <c r="R18" s="1006"/>
      <c r="S18" s="1111">
        <f>ROUND(SUM(L18-P18),1)</f>
        <v>22.6</v>
      </c>
      <c r="T18" s="1007"/>
      <c r="U18" s="1370">
        <f>ROUND(IF(S18=0,0,S18/ABS(P18)),3)</f>
        <v>0.224</v>
      </c>
      <c r="V18" s="1008"/>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1009"/>
      <c r="BN18" s="1009"/>
      <c r="BO18" s="1009"/>
      <c r="BP18" s="1009"/>
      <c r="BQ18" s="1009"/>
      <c r="BR18" s="1009"/>
      <c r="BS18" s="1009"/>
      <c r="BT18" s="1009"/>
      <c r="BU18" s="1009"/>
      <c r="BV18" s="1009"/>
      <c r="BW18" s="1009"/>
      <c r="BX18" s="1009"/>
      <c r="BY18" s="1009"/>
      <c r="BZ18" s="1009"/>
      <c r="CA18" s="1009"/>
      <c r="CB18" s="1009"/>
      <c r="CC18" s="1009"/>
      <c r="CD18" s="1009"/>
      <c r="CE18" s="1009"/>
      <c r="CF18" s="1009"/>
      <c r="CG18" s="1009"/>
      <c r="CH18" s="1009"/>
      <c r="CI18" s="1009"/>
      <c r="CJ18" s="1009"/>
      <c r="CK18" s="1009"/>
      <c r="CL18" s="1009"/>
      <c r="CM18" s="1009"/>
      <c r="CN18" s="1009"/>
      <c r="CO18" s="1009"/>
      <c r="CP18" s="1009"/>
      <c r="CQ18" s="1009"/>
      <c r="CR18" s="1009"/>
      <c r="CS18" s="1009"/>
      <c r="CT18" s="1009"/>
      <c r="CU18" s="1009"/>
      <c r="CV18" s="1009"/>
      <c r="CW18" s="1009"/>
      <c r="CX18" s="1009"/>
      <c r="CY18" s="1009"/>
      <c r="CZ18" s="1009"/>
      <c r="DA18" s="1009"/>
      <c r="DB18" s="1009"/>
      <c r="DC18" s="1009"/>
      <c r="DD18" s="1009"/>
      <c r="DE18" s="1009"/>
      <c r="DF18" s="1009"/>
      <c r="DG18" s="1009"/>
      <c r="DH18" s="1009"/>
      <c r="DI18" s="1009"/>
      <c r="DJ18" s="1009"/>
      <c r="DK18" s="1009"/>
      <c r="DL18" s="1009"/>
      <c r="DM18" s="1009"/>
      <c r="DN18" s="1009"/>
      <c r="DO18" s="1009"/>
      <c r="DP18" s="1009"/>
      <c r="DQ18" s="1009"/>
      <c r="DR18" s="1009"/>
      <c r="DS18" s="1009"/>
      <c r="DT18" s="1009"/>
      <c r="DU18" s="1009"/>
      <c r="DV18" s="1009"/>
      <c r="DW18" s="1009"/>
      <c r="DX18" s="1009"/>
      <c r="DY18" s="1009"/>
      <c r="DZ18" s="1009"/>
      <c r="EA18" s="1009"/>
      <c r="EB18" s="1009"/>
      <c r="EC18" s="1009"/>
      <c r="ED18" s="1009"/>
      <c r="EE18" s="1009"/>
      <c r="EF18" s="1009"/>
      <c r="EG18" s="1009"/>
      <c r="EH18" s="1009"/>
      <c r="EI18" s="1009"/>
      <c r="EJ18" s="1009"/>
      <c r="EK18" s="1009"/>
      <c r="EL18" s="1009"/>
      <c r="EM18" s="1009"/>
      <c r="EN18" s="1009"/>
      <c r="EO18" s="1009"/>
      <c r="EP18" s="1009"/>
      <c r="EQ18" s="1009"/>
      <c r="ER18" s="1009"/>
      <c r="ES18" s="1009"/>
      <c r="ET18" s="1009"/>
      <c r="EU18" s="1009"/>
      <c r="EV18" s="1009"/>
      <c r="EW18" s="1009"/>
      <c r="EX18" s="1009"/>
      <c r="EY18" s="1009"/>
      <c r="EZ18" s="1009"/>
      <c r="FA18" s="1009"/>
      <c r="FB18" s="1009"/>
      <c r="FC18" s="1009"/>
      <c r="FD18" s="1009"/>
      <c r="FE18" s="1009"/>
      <c r="FF18" s="1009"/>
      <c r="FG18" s="1009"/>
      <c r="FH18" s="1009"/>
      <c r="FI18" s="1009"/>
      <c r="FJ18" s="1009"/>
      <c r="FK18" s="1009"/>
      <c r="FL18" s="1009"/>
      <c r="FM18" s="1009"/>
      <c r="FN18" s="1009"/>
      <c r="FO18" s="1009"/>
      <c r="FP18" s="1009"/>
      <c r="FQ18" s="1009"/>
      <c r="FR18" s="1009"/>
      <c r="FS18" s="1009"/>
      <c r="FT18" s="1009"/>
      <c r="FU18" s="1009"/>
      <c r="FV18" s="1009"/>
      <c r="FW18" s="1009"/>
      <c r="FX18" s="1009"/>
      <c r="FY18" s="1009"/>
      <c r="FZ18" s="1009"/>
      <c r="GA18" s="1009"/>
      <c r="GB18" s="1009"/>
      <c r="GC18" s="1009"/>
      <c r="GD18" s="1009"/>
      <c r="GE18" s="1009"/>
      <c r="GF18" s="1009"/>
      <c r="GG18" s="1009"/>
      <c r="GH18" s="1009"/>
      <c r="GI18" s="1009"/>
      <c r="GJ18" s="1009"/>
      <c r="GK18" s="1009"/>
      <c r="GL18" s="1009"/>
      <c r="GM18" s="1009"/>
      <c r="GN18" s="1009"/>
      <c r="GO18" s="1009"/>
      <c r="GP18" s="1009"/>
      <c r="GQ18" s="1009"/>
      <c r="GR18" s="1009"/>
      <c r="GS18" s="1009"/>
      <c r="GT18" s="1009"/>
      <c r="GU18" s="1009"/>
      <c r="GV18" s="1009"/>
      <c r="GW18" s="1009"/>
      <c r="GX18" s="1009"/>
      <c r="GY18" s="1009"/>
      <c r="GZ18" s="1009"/>
      <c r="HA18" s="1009"/>
      <c r="HB18" s="1009"/>
      <c r="HC18" s="1009"/>
      <c r="HD18" s="1009"/>
      <c r="HE18" s="1009"/>
      <c r="HF18" s="1009"/>
      <c r="HG18" s="1009"/>
      <c r="HH18" s="1009"/>
      <c r="HI18" s="1009"/>
      <c r="HJ18" s="1009"/>
      <c r="HK18" s="1009"/>
      <c r="HL18" s="1009"/>
      <c r="HM18" s="1009"/>
      <c r="HN18" s="1009"/>
      <c r="HO18" s="1009"/>
      <c r="HP18" s="1009"/>
      <c r="HQ18" s="1009"/>
      <c r="HR18" s="1009"/>
      <c r="HS18" s="1009"/>
      <c r="HT18" s="1009"/>
      <c r="HU18" s="1009"/>
      <c r="HV18" s="1009"/>
      <c r="HW18" s="1009"/>
      <c r="HX18" s="1009"/>
      <c r="HY18" s="1009"/>
      <c r="HZ18" s="1009"/>
      <c r="IA18" s="1009"/>
      <c r="IB18" s="1009"/>
      <c r="IC18" s="1009"/>
      <c r="ID18" s="1009"/>
      <c r="IE18" s="1009"/>
      <c r="IF18" s="1009"/>
      <c r="IG18" s="1009"/>
      <c r="IH18" s="1009"/>
      <c r="II18" s="1009"/>
      <c r="IJ18" s="1009"/>
      <c r="IK18" s="1009"/>
    </row>
    <row r="19" spans="1:245" ht="15.6">
      <c r="A19" s="102" t="s">
        <v>21</v>
      </c>
      <c r="B19" s="108">
        <f>ROUND(SUM(B18),1)</f>
        <v>10.7</v>
      </c>
      <c r="C19" s="109"/>
      <c r="D19" s="108">
        <f>ROUND(SUM(D18),1)</f>
        <v>118.3</v>
      </c>
      <c r="E19" s="109"/>
      <c r="F19" s="110">
        <f>ROUND(SUM(F18),1)</f>
        <v>0</v>
      </c>
      <c r="G19" s="109"/>
      <c r="H19" s="111">
        <f>ROUND(SUM(H18),1)</f>
        <v>5.2</v>
      </c>
      <c r="I19" s="112"/>
      <c r="J19" s="113">
        <f>ROUND(SUM(J18),1)</f>
        <v>10.7</v>
      </c>
      <c r="K19" s="109"/>
      <c r="L19" s="111">
        <f>ROUND(SUM(L18),1)</f>
        <v>123.5</v>
      </c>
      <c r="M19" s="112"/>
      <c r="N19" s="108">
        <f>ROUND(SUM(N18),1)</f>
        <v>5.7</v>
      </c>
      <c r="O19" s="109"/>
      <c r="P19" s="108">
        <f>ROUND(SUM(P18),1)</f>
        <v>100.9</v>
      </c>
      <c r="Q19" s="731"/>
      <c r="R19" s="1010"/>
      <c r="S19" s="1037">
        <f>ROUND(SUM(S18),3)</f>
        <v>22.6</v>
      </c>
      <c r="T19" s="640"/>
      <c r="U19" s="1038">
        <f>ROUND(+S19/P19,3)</f>
        <v>0.224</v>
      </c>
      <c r="V19" s="813"/>
    </row>
    <row r="20" spans="1:245" ht="15.6">
      <c r="A20" s="102"/>
      <c r="B20" s="883"/>
      <c r="C20" s="883"/>
      <c r="D20" s="883"/>
      <c r="E20" s="883"/>
      <c r="F20" s="883"/>
      <c r="G20" s="883"/>
      <c r="H20" s="1011"/>
      <c r="I20" s="1012"/>
      <c r="J20" s="1013"/>
      <c r="K20" s="883"/>
      <c r="L20" s="1014"/>
      <c r="M20" s="1012"/>
      <c r="N20" s="1012"/>
      <c r="O20" s="883"/>
      <c r="P20" s="1012"/>
      <c r="R20" s="999"/>
      <c r="S20" s="1036"/>
      <c r="T20" s="996"/>
      <c r="U20" s="813"/>
      <c r="V20" s="813"/>
    </row>
    <row r="21" spans="1:245" ht="16.350000000000001" customHeight="1">
      <c r="A21" s="102" t="s">
        <v>22</v>
      </c>
      <c r="B21" s="883"/>
      <c r="C21" s="883"/>
      <c r="D21" s="883"/>
      <c r="E21" s="883"/>
      <c r="F21" s="883"/>
      <c r="G21" s="883"/>
      <c r="H21" s="1014"/>
      <c r="I21" s="1012"/>
      <c r="J21" s="1013"/>
      <c r="K21" s="883"/>
      <c r="L21" s="1014"/>
      <c r="M21" s="1012"/>
      <c r="N21" s="1012"/>
      <c r="O21" s="883"/>
      <c r="P21" s="1012"/>
      <c r="R21" s="999"/>
      <c r="S21" s="1036"/>
      <c r="T21" s="996"/>
      <c r="U21" s="813"/>
      <c r="V21" s="813"/>
    </row>
    <row r="22" spans="1:245" ht="16.350000000000001" customHeight="1">
      <c r="A22" s="982" t="s">
        <v>35</v>
      </c>
      <c r="B22" s="883"/>
      <c r="C22" s="883"/>
      <c r="D22" s="883"/>
      <c r="E22" s="883"/>
      <c r="F22" s="883"/>
      <c r="G22" s="883"/>
      <c r="H22" s="1014"/>
      <c r="I22" s="1012"/>
      <c r="J22" s="1013"/>
      <c r="K22" s="883"/>
      <c r="L22" s="1014"/>
      <c r="M22" s="1012"/>
      <c r="N22" s="1012"/>
      <c r="O22" s="883"/>
      <c r="P22" s="1012"/>
      <c r="R22" s="999"/>
      <c r="S22" s="1036"/>
      <c r="T22" s="996"/>
      <c r="U22" s="813"/>
      <c r="V22" s="813"/>
    </row>
    <row r="23" spans="1:245" ht="16.350000000000001" customHeight="1">
      <c r="A23" s="982" t="s">
        <v>66</v>
      </c>
      <c r="B23" s="673">
        <f>+'Exhibit L'!T22</f>
        <v>7.5999999999999908</v>
      </c>
      <c r="C23" s="883"/>
      <c r="D23" s="673">
        <f>+'Exhibit L'!AA22</f>
        <v>65.3</v>
      </c>
      <c r="E23" s="883"/>
      <c r="F23" s="1015">
        <f>+'Exhibit M'!T22</f>
        <v>0</v>
      </c>
      <c r="G23" s="883"/>
      <c r="H23" s="1016">
        <f>+'Exhibit M'!AA22</f>
        <v>0.3</v>
      </c>
      <c r="I23" s="1012"/>
      <c r="J23" s="1017">
        <f>SUM(B23)+SUM(F23)</f>
        <v>7.5999999999999908</v>
      </c>
      <c r="K23" s="883"/>
      <c r="L23" s="1018">
        <f>SUM(D23)+SUM(H23)</f>
        <v>65.599999999999994</v>
      </c>
      <c r="M23" s="1012"/>
      <c r="N23" s="1019">
        <v>5.4999999999999991</v>
      </c>
      <c r="O23" s="883"/>
      <c r="P23" s="1019">
        <f>'Exhibit L'!AD22+'Exhibit M'!AD22</f>
        <v>61.1</v>
      </c>
      <c r="R23" s="999"/>
      <c r="S23" s="1036">
        <f>ROUND(SUM(L23-P23),1)</f>
        <v>4.5</v>
      </c>
      <c r="T23" s="996"/>
      <c r="U23" s="1370">
        <f>ROUND(IF(S23=0,0,S23/ABS(P23)),3)</f>
        <v>7.3999999999999996E-2</v>
      </c>
      <c r="V23" s="813"/>
    </row>
    <row r="24" spans="1:245" ht="16.350000000000001" customHeight="1">
      <c r="A24" s="982" t="s">
        <v>67</v>
      </c>
      <c r="B24" s="673">
        <f>+'Exhibit L'!T23</f>
        <v>1.9000000000000021</v>
      </c>
      <c r="C24" s="883"/>
      <c r="D24" s="1019">
        <f>+'Exhibit L'!AA23</f>
        <v>12.9</v>
      </c>
      <c r="E24" s="883"/>
      <c r="F24" s="1015">
        <f>+'Exhibit M'!T23</f>
        <v>0</v>
      </c>
      <c r="G24" s="883"/>
      <c r="H24" s="1016">
        <f>+'Exhibit M'!AA23</f>
        <v>0.1</v>
      </c>
      <c r="I24" s="1012"/>
      <c r="J24" s="1017">
        <f>SUM(B24)+SUM(F24)</f>
        <v>1.9000000000000021</v>
      </c>
      <c r="K24" s="883"/>
      <c r="L24" s="1018">
        <f>SUM(D24)+SUM(H24)</f>
        <v>13</v>
      </c>
      <c r="M24" s="1012"/>
      <c r="N24" s="1019">
        <v>2.2000000000000002</v>
      </c>
      <c r="O24" s="1012"/>
      <c r="P24" s="1019">
        <f>'Exhibit L'!AD23+'Exhibit M'!AD23</f>
        <v>10.9</v>
      </c>
      <c r="R24" s="999"/>
      <c r="S24" s="1036">
        <f>ROUND(SUM(L24-P24),1)</f>
        <v>2.1</v>
      </c>
      <c r="T24" s="996"/>
      <c r="U24" s="1370">
        <f>ROUND(IF(S24=0,0,S24/ABS(P24)),3)</f>
        <v>0.193</v>
      </c>
      <c r="V24" s="813"/>
    </row>
    <row r="25" spans="1:245" ht="16.350000000000001" customHeight="1">
      <c r="A25" s="982" t="s">
        <v>68</v>
      </c>
      <c r="B25" s="673">
        <f>+'Exhibit L'!T24</f>
        <v>4.7999999999999963</v>
      </c>
      <c r="C25" s="883"/>
      <c r="D25" s="1020">
        <f>+'Exhibit L'!AA24</f>
        <v>42.5</v>
      </c>
      <c r="E25" s="883"/>
      <c r="F25" s="1015">
        <f>+'Exhibit M'!T24</f>
        <v>0</v>
      </c>
      <c r="G25" s="883"/>
      <c r="H25" s="1021">
        <f>+'Exhibit M'!AA24</f>
        <v>0.2</v>
      </c>
      <c r="I25" s="1012"/>
      <c r="J25" s="1017">
        <f>SUM(B25)+SUM(F25)</f>
        <v>4.7999999999999963</v>
      </c>
      <c r="K25" s="883"/>
      <c r="L25" s="1022">
        <f>SUM(D25)+SUM(H25)</f>
        <v>42.7</v>
      </c>
      <c r="M25" s="1012"/>
      <c r="N25" s="1019">
        <v>3.4</v>
      </c>
      <c r="O25" s="3434"/>
      <c r="P25" s="1019">
        <f>'Exhibit L'!AD24+'Exhibit M'!AD24</f>
        <v>34.6</v>
      </c>
      <c r="R25" s="999"/>
      <c r="S25" s="1036">
        <f>ROUND(SUM(L25-P25),1)</f>
        <v>8.1</v>
      </c>
      <c r="T25" s="996"/>
      <c r="U25" s="3609">
        <f>ROUND(IF(P25=0,1,S25/ABS(P25)),3)</f>
        <v>0.23400000000000001</v>
      </c>
      <c r="V25" s="813"/>
    </row>
    <row r="26" spans="1:245" ht="15.6">
      <c r="A26" s="102" t="s">
        <v>56</v>
      </c>
      <c r="B26" s="108">
        <f>ROUND(SUM(B23:B25),1)</f>
        <v>14.3</v>
      </c>
      <c r="C26" s="109"/>
      <c r="D26" s="108">
        <f>ROUND(SUM(D23:D25),1)</f>
        <v>120.7</v>
      </c>
      <c r="E26" s="109"/>
      <c r="F26" s="108">
        <f>ROUND(SUM(F23:F25),1)</f>
        <v>0</v>
      </c>
      <c r="G26" s="109"/>
      <c r="H26" s="111">
        <f>ROUND(SUM(H23:H25),1)</f>
        <v>0.6</v>
      </c>
      <c r="I26" s="112"/>
      <c r="J26" s="113">
        <f>ROUND(SUM(J23:J25),1)</f>
        <v>14.3</v>
      </c>
      <c r="K26" s="109"/>
      <c r="L26" s="111">
        <f>ROUND(SUM(L23:L25),1)</f>
        <v>121.3</v>
      </c>
      <c r="M26" s="112"/>
      <c r="N26" s="108">
        <f>ROUND(SUM(N23:N25),1)</f>
        <v>11.1</v>
      </c>
      <c r="O26" s="109"/>
      <c r="P26" s="108">
        <f>ROUND(SUM(P23:P25),1)</f>
        <v>106.6</v>
      </c>
      <c r="Q26" s="731"/>
      <c r="R26" s="978"/>
      <c r="S26" s="1037">
        <f>ROUND(SUM(S23:S25),3)</f>
        <v>14.7</v>
      </c>
      <c r="T26" s="640"/>
      <c r="U26" s="3613">
        <f>ROUND(S26/P26,3)</f>
        <v>0.13800000000000001</v>
      </c>
      <c r="V26" s="813"/>
    </row>
    <row r="27" spans="1:245" ht="15.6">
      <c r="A27" s="102"/>
      <c r="B27" s="883"/>
      <c r="C27" s="883"/>
      <c r="D27" s="883"/>
      <c r="E27" s="883"/>
      <c r="F27" s="883"/>
      <c r="G27" s="883"/>
      <c r="H27" s="1014"/>
      <c r="I27" s="1012"/>
      <c r="J27" s="1013"/>
      <c r="K27" s="883"/>
      <c r="L27" s="1014"/>
      <c r="M27" s="1012"/>
      <c r="N27" s="1012"/>
      <c r="O27" s="883"/>
      <c r="P27" s="1012"/>
      <c r="R27" s="999"/>
      <c r="S27" s="1036"/>
      <c r="T27" s="996"/>
      <c r="U27" s="813"/>
      <c r="V27" s="813"/>
    </row>
    <row r="28" spans="1:245" ht="16.350000000000001" customHeight="1">
      <c r="A28" s="102" t="s">
        <v>43</v>
      </c>
      <c r="B28" s="883"/>
      <c r="C28" s="883"/>
      <c r="D28" s="883"/>
      <c r="E28" s="883"/>
      <c r="F28" s="883"/>
      <c r="G28" s="883"/>
      <c r="H28" s="1014"/>
      <c r="I28" s="1012"/>
      <c r="J28" s="1013"/>
      <c r="K28" s="883"/>
      <c r="L28" s="1014"/>
      <c r="M28" s="1012"/>
      <c r="N28" s="1012"/>
      <c r="O28" s="883"/>
      <c r="P28" s="1012"/>
      <c r="R28" s="999"/>
      <c r="S28" s="1036"/>
      <c r="T28" s="996"/>
      <c r="U28" s="813"/>
      <c r="V28" s="813"/>
    </row>
    <row r="29" spans="1:245" ht="15.6">
      <c r="A29" s="102" t="s">
        <v>70</v>
      </c>
      <c r="B29" s="117">
        <f>ROUND(SUM(B19-B26),1)</f>
        <v>-3.6</v>
      </c>
      <c r="C29" s="109"/>
      <c r="D29" s="117">
        <f>ROUND(SUM(D19-D26),1)</f>
        <v>-2.4</v>
      </c>
      <c r="E29" s="109"/>
      <c r="F29" s="117">
        <f>ROUND(SUM(F19-F26),1)</f>
        <v>0</v>
      </c>
      <c r="G29" s="109"/>
      <c r="H29" s="118">
        <f>ROUND(SUM(H19-H26),1)</f>
        <v>4.5999999999999996</v>
      </c>
      <c r="I29" s="112"/>
      <c r="J29" s="119">
        <f>ROUND(SUM(J19-J26),1)</f>
        <v>-3.6</v>
      </c>
      <c r="K29" s="112"/>
      <c r="L29" s="118">
        <f>ROUND(SUM(L19-L26),1)</f>
        <v>2.2000000000000002</v>
      </c>
      <c r="M29" s="112"/>
      <c r="N29" s="117">
        <f>ROUND(SUM(N19-N26),1)</f>
        <v>-5.4</v>
      </c>
      <c r="O29" s="112"/>
      <c r="P29" s="117">
        <f>ROUND(SUM(P19-P26),1)</f>
        <v>-5.7</v>
      </c>
      <c r="Q29" s="731"/>
      <c r="R29" s="999"/>
      <c r="S29" s="1540">
        <f>ROUND(SUM(L29-P29),1)</f>
        <v>7.9</v>
      </c>
      <c r="T29" s="996"/>
      <c r="U29" s="2103">
        <f>ROUND(IF(P29=0,1,S29/ABS(P29)),3)</f>
        <v>1.3859999999999999</v>
      </c>
      <c r="V29" s="813"/>
    </row>
    <row r="30" spans="1:245">
      <c r="A30" s="982"/>
      <c r="B30" s="883"/>
      <c r="C30" s="883"/>
      <c r="D30" s="883"/>
      <c r="E30" s="883"/>
      <c r="F30" s="883"/>
      <c r="G30" s="883"/>
      <c r="H30" s="1014"/>
      <c r="I30" s="1012"/>
      <c r="J30" s="1013"/>
      <c r="K30" s="883"/>
      <c r="L30" s="1014"/>
      <c r="M30" s="1012"/>
      <c r="N30" s="1012"/>
      <c r="O30" s="883"/>
      <c r="P30" s="1012"/>
      <c r="R30" s="999"/>
      <c r="S30" s="1036"/>
      <c r="T30" s="996"/>
      <c r="U30" s="813"/>
      <c r="V30" s="813"/>
    </row>
    <row r="31" spans="1:245" ht="16.350000000000001" customHeight="1">
      <c r="A31" s="102" t="s">
        <v>45</v>
      </c>
      <c r="B31" s="883"/>
      <c r="C31" s="883"/>
      <c r="D31" s="883"/>
      <c r="E31" s="883"/>
      <c r="F31" s="883"/>
      <c r="G31" s="883"/>
      <c r="H31" s="1014"/>
      <c r="I31" s="1012"/>
      <c r="J31" s="1013"/>
      <c r="K31" s="883"/>
      <c r="L31" s="1014"/>
      <c r="M31" s="1012"/>
      <c r="N31" s="1012"/>
      <c r="O31" s="883"/>
      <c r="P31" s="1012"/>
      <c r="R31" s="999"/>
      <c r="S31" s="1036"/>
      <c r="T31" s="996"/>
      <c r="U31" s="813"/>
      <c r="V31" s="813"/>
    </row>
    <row r="32" spans="1:245" ht="16.350000000000001" customHeight="1">
      <c r="A32" s="982" t="s">
        <v>46</v>
      </c>
      <c r="B32" s="1015">
        <f>+'Exhibit L'!T31</f>
        <v>0</v>
      </c>
      <c r="C32" s="883"/>
      <c r="D32" s="1015">
        <f>+'Exhibit L'!AA31</f>
        <v>0</v>
      </c>
      <c r="E32" s="883"/>
      <c r="F32" s="1015">
        <f>+'Exhibit M'!T31</f>
        <v>0</v>
      </c>
      <c r="G32" s="673"/>
      <c r="H32" s="1023">
        <f>+'Exhibit M'!AA31</f>
        <v>0</v>
      </c>
      <c r="I32" s="1012"/>
      <c r="J32" s="1024">
        <f>SUM(B32)+SUM(F32)</f>
        <v>0</v>
      </c>
      <c r="K32" s="883"/>
      <c r="L32" s="1016">
        <f>SUM(D32)+SUM(H32)</f>
        <v>0</v>
      </c>
      <c r="M32" s="1012"/>
      <c r="N32" s="1019">
        <v>0</v>
      </c>
      <c r="O32" s="1012"/>
      <c r="P32" s="1020">
        <f>'Exhibit L'!AD31+'Exhibit M'!AD31</f>
        <v>0</v>
      </c>
      <c r="R32" s="1025"/>
      <c r="S32" s="1036">
        <f>ROUND(SUM(L32-P32),1)</f>
        <v>0</v>
      </c>
      <c r="T32" s="658"/>
      <c r="U32" s="1370">
        <f>ROUND(IF(S32=0,0,S32/ABS(P32)),3)</f>
        <v>0</v>
      </c>
      <c r="V32" s="813"/>
    </row>
    <row r="33" spans="1:245" ht="16.350000000000001" customHeight="1">
      <c r="A33" s="982" t="s">
        <v>71</v>
      </c>
      <c r="B33" s="1015">
        <f>+'Exhibit L'!T32</f>
        <v>0</v>
      </c>
      <c r="C33" s="883"/>
      <c r="D33" s="1026">
        <f>+'Exhibit L'!AA32</f>
        <v>0</v>
      </c>
      <c r="E33" s="883"/>
      <c r="F33" s="1015">
        <f>+'Exhibit M'!T32</f>
        <v>0</v>
      </c>
      <c r="G33" s="883"/>
      <c r="H33" s="1023">
        <f>+'Exhibit M'!AA32</f>
        <v>0</v>
      </c>
      <c r="I33" s="1012"/>
      <c r="J33" s="1024">
        <f>SUM(B33)+SUM(F33)</f>
        <v>0</v>
      </c>
      <c r="K33" s="883"/>
      <c r="L33" s="1027">
        <f>SUM(D33)+SUM(H33)</f>
        <v>0</v>
      </c>
      <c r="M33" s="1012"/>
      <c r="N33" s="1019">
        <v>0</v>
      </c>
      <c r="O33" s="3434"/>
      <c r="P33" s="1020">
        <f>'Exhibit L'!AD32+'Exhibit M'!AD32</f>
        <v>0</v>
      </c>
      <c r="R33" s="1028"/>
      <c r="S33" s="1036">
        <f>ROUND(SUM(L33-P33),1)</f>
        <v>0</v>
      </c>
      <c r="T33" s="658"/>
      <c r="U33" s="1370">
        <f>ROUND(IF(S33=0,0,S33/ABS(P33)),3)</f>
        <v>0</v>
      </c>
      <c r="V33" s="813"/>
    </row>
    <row r="34" spans="1:245" ht="15.6">
      <c r="A34" s="102" t="s">
        <v>48</v>
      </c>
      <c r="B34" s="120">
        <f>ROUND(SUM(B32:B33),1)</f>
        <v>0</v>
      </c>
      <c r="C34" s="109"/>
      <c r="D34" s="120">
        <f>ROUND(SUM(D32:D33),1)</f>
        <v>0</v>
      </c>
      <c r="E34" s="109"/>
      <c r="F34" s="120">
        <f>ROUND(SUM(F32:F33),1)</f>
        <v>0</v>
      </c>
      <c r="G34" s="109"/>
      <c r="H34" s="121">
        <f>ROUND(SUM(H32:H33),1)</f>
        <v>0</v>
      </c>
      <c r="I34" s="112"/>
      <c r="J34" s="122">
        <f>ROUND(SUM(J32:J33),1)</f>
        <v>0</v>
      </c>
      <c r="K34" s="109"/>
      <c r="L34" s="111">
        <f>ROUND(SUM(L32:L33),1)</f>
        <v>0</v>
      </c>
      <c r="M34" s="112"/>
      <c r="N34" s="108">
        <f>ROUND(SUM(N32:N33),1)</f>
        <v>0</v>
      </c>
      <c r="O34" s="109"/>
      <c r="P34" s="108">
        <f>ROUND(SUM(P32:P33),1)</f>
        <v>0</v>
      </c>
      <c r="R34" s="1029"/>
      <c r="S34" s="3256">
        <f>ROUND(SUM(S32-S33),3)</f>
        <v>0</v>
      </c>
      <c r="T34" s="1388"/>
      <c r="U34" s="1067">
        <f>ROUND(IF(P34=0,0,S34/ABS(P34)),3)</f>
        <v>0</v>
      </c>
      <c r="V34" s="813"/>
    </row>
    <row r="35" spans="1:245" ht="15.6">
      <c r="A35" s="102"/>
      <c r="B35" s="1030"/>
      <c r="C35" s="883"/>
      <c r="D35" s="1030"/>
      <c r="E35" s="883"/>
      <c r="F35" s="1012"/>
      <c r="G35" s="883"/>
      <c r="H35" s="1014"/>
      <c r="I35" s="1012"/>
      <c r="J35" s="1013"/>
      <c r="K35" s="883"/>
      <c r="L35" s="1031"/>
      <c r="M35" s="1012"/>
      <c r="N35" s="1012"/>
      <c r="O35" s="883"/>
      <c r="P35" s="1012"/>
      <c r="R35" s="999"/>
      <c r="S35" s="1036"/>
      <c r="T35" s="996"/>
      <c r="U35" s="813"/>
      <c r="V35" s="813"/>
    </row>
    <row r="36" spans="1:245" ht="15.75" customHeight="1">
      <c r="A36" s="102" t="s">
        <v>43</v>
      </c>
      <c r="B36" s="883"/>
      <c r="C36" s="883"/>
      <c r="D36" s="883"/>
      <c r="E36" s="883"/>
      <c r="F36" s="883"/>
      <c r="G36" s="883"/>
      <c r="H36" s="1014"/>
      <c r="I36" s="1012"/>
      <c r="J36" s="1013"/>
      <c r="K36" s="883"/>
      <c r="L36" s="1014"/>
      <c r="M36" s="1012"/>
      <c r="N36" s="1012"/>
      <c r="O36" s="883"/>
      <c r="P36" s="1012"/>
      <c r="R36" s="999"/>
      <c r="S36" s="1036"/>
      <c r="T36" s="996"/>
      <c r="U36" s="813"/>
      <c r="V36" s="813"/>
    </row>
    <row r="37" spans="1:245" ht="15.75" customHeight="1">
      <c r="A37" s="102" t="s">
        <v>72</v>
      </c>
      <c r="B37" s="883"/>
      <c r="C37" s="883"/>
      <c r="D37" s="883"/>
      <c r="E37" s="883"/>
      <c r="F37" s="883"/>
      <c r="G37" s="883"/>
      <c r="H37" s="1014"/>
      <c r="I37" s="1012"/>
      <c r="J37" s="1013"/>
      <c r="K37" s="883"/>
      <c r="L37" s="1014"/>
      <c r="M37" s="1012"/>
      <c r="N37" s="1012"/>
      <c r="O37" s="883"/>
      <c r="P37" s="1012"/>
      <c r="R37" s="999"/>
      <c r="S37" s="1036"/>
      <c r="T37" s="996"/>
      <c r="U37" s="813"/>
      <c r="V37" s="813"/>
    </row>
    <row r="38" spans="1:245" ht="15.75" customHeight="1">
      <c r="A38" s="102" t="s">
        <v>73</v>
      </c>
      <c r="B38" s="883"/>
      <c r="C38" s="883"/>
      <c r="D38" s="883"/>
      <c r="E38" s="883"/>
      <c r="F38" s="1032"/>
      <c r="G38" s="883"/>
      <c r="H38" s="1014"/>
      <c r="I38" s="1012"/>
      <c r="J38" s="1013"/>
      <c r="K38" s="883"/>
      <c r="L38" s="1014"/>
      <c r="M38" s="1012"/>
      <c r="N38" s="1012"/>
      <c r="O38" s="883"/>
      <c r="P38" s="1012"/>
      <c r="R38" s="999"/>
      <c r="S38" s="1036"/>
      <c r="T38" s="996"/>
      <c r="U38" s="813"/>
      <c r="V38" s="813"/>
    </row>
    <row r="39" spans="1:245" ht="15.75" customHeight="1">
      <c r="A39" s="102" t="s">
        <v>74</v>
      </c>
      <c r="B39" s="125">
        <f>ROUND(SUM(B29+B34),1)</f>
        <v>-3.6</v>
      </c>
      <c r="C39" s="109"/>
      <c r="D39" s="125">
        <f>ROUND(SUM(D29+D34),1)</f>
        <v>-2.4</v>
      </c>
      <c r="E39" s="109"/>
      <c r="F39" s="125">
        <f>ROUND(SUM(F29+F34),1)</f>
        <v>0</v>
      </c>
      <c r="G39" s="109"/>
      <c r="H39" s="126">
        <f>ROUND(SUM(H29+H34),1)</f>
        <v>4.5999999999999996</v>
      </c>
      <c r="I39" s="112"/>
      <c r="J39" s="127">
        <f>ROUND(SUM(J29+J34),1)</f>
        <v>-3.6</v>
      </c>
      <c r="K39" s="109"/>
      <c r="L39" s="126">
        <f>ROUND(SUM(L29+L34),1)</f>
        <v>2.2000000000000002</v>
      </c>
      <c r="M39" s="112"/>
      <c r="N39" s="125">
        <f>ROUND(SUM(N29+N34),1)</f>
        <v>-5.4</v>
      </c>
      <c r="O39" s="112"/>
      <c r="P39" s="125">
        <f>ROUND(SUM(P29+P34),1)</f>
        <v>-5.7</v>
      </c>
      <c r="Q39" s="731"/>
      <c r="R39" s="999"/>
      <c r="S39" s="1446">
        <f>ROUND(SUM(L39-P39),1)</f>
        <v>7.9</v>
      </c>
      <c r="T39" s="996"/>
      <c r="U39" s="2104">
        <f>ROUND(IF(P39=0,1,S39/ABS(P39)),3)</f>
        <v>1.3859999999999999</v>
      </c>
      <c r="V39" s="813"/>
    </row>
    <row r="40" spans="1:245" ht="15.6">
      <c r="A40" s="102"/>
      <c r="B40" s="883"/>
      <c r="C40" s="883"/>
      <c r="D40" s="883"/>
      <c r="E40" s="883"/>
      <c r="F40" s="883"/>
      <c r="G40" s="883"/>
      <c r="H40" s="1014"/>
      <c r="I40" s="1012"/>
      <c r="J40" s="1013"/>
      <c r="K40" s="883"/>
      <c r="L40" s="1014"/>
      <c r="M40" s="1012"/>
      <c r="N40" s="1012"/>
      <c r="O40" s="883"/>
      <c r="P40" s="1012"/>
      <c r="R40" s="999"/>
      <c r="T40" s="1380"/>
      <c r="U40" s="908"/>
      <c r="V40" s="813"/>
    </row>
    <row r="41" spans="1:245" s="731" customFormat="1" ht="15.6">
      <c r="A41" s="102" t="s">
        <v>51</v>
      </c>
      <c r="B41" s="128">
        <f>+'Exhibit L'!T13</f>
        <v>1.2</v>
      </c>
      <c r="C41" s="109"/>
      <c r="D41" s="128">
        <f>+'Exhibit L'!AA13</f>
        <v>0</v>
      </c>
      <c r="E41" s="109"/>
      <c r="F41" s="128">
        <f>+'Exhibit M'!T13</f>
        <v>44.8</v>
      </c>
      <c r="G41" s="109"/>
      <c r="H41" s="129">
        <f>+'Exhibit M'!AA13</f>
        <v>40.200000000000003</v>
      </c>
      <c r="I41" s="112"/>
      <c r="J41" s="130">
        <f>ROUND(SUM(B41)+SUM(F41),1)</f>
        <v>46</v>
      </c>
      <c r="K41" s="109"/>
      <c r="L41" s="126">
        <f>ROUND(SUM(D41+H41),1)</f>
        <v>40.200000000000003</v>
      </c>
      <c r="M41" s="112"/>
      <c r="N41" s="117">
        <v>12.899999999999999</v>
      </c>
      <c r="O41" s="109"/>
      <c r="P41" s="117">
        <f>'Exhibit L'!AD13+'Exhibit M'!AD13</f>
        <v>13.199999999999998</v>
      </c>
      <c r="R41" s="979"/>
      <c r="S41" s="1596">
        <f>ROUND(SUM(+L41-P41),1)</f>
        <v>27</v>
      </c>
      <c r="T41" s="88"/>
      <c r="U41" s="1371">
        <f>ROUND(IF(S41=0,0,S41/ABS(P41)),3)</f>
        <v>2.0449999999999999</v>
      </c>
      <c r="V41" s="1033"/>
    </row>
    <row r="42" spans="1:245" ht="16.2" thickBot="1">
      <c r="A42" s="102" t="s">
        <v>76</v>
      </c>
      <c r="B42" s="131">
        <f>ROUND(SUM(B41)+SUM(B39),1)</f>
        <v>-2.4</v>
      </c>
      <c r="C42" s="132"/>
      <c r="D42" s="131">
        <f>ROUND(SUM(D41)+SUM(D39),1)</f>
        <v>-2.4</v>
      </c>
      <c r="E42" s="132"/>
      <c r="F42" s="133">
        <f>ROUND(SUM(F41)+SUM(F39),1)</f>
        <v>44.8</v>
      </c>
      <c r="G42" s="134"/>
      <c r="H42" s="790">
        <f>ROUND(SUM(H41)+SUM(H39),1)</f>
        <v>44.8</v>
      </c>
      <c r="I42" s="791"/>
      <c r="J42" s="790">
        <f>ROUND(SUM(J41)+SUM(J39),1)</f>
        <v>42.4</v>
      </c>
      <c r="K42" s="136"/>
      <c r="L42" s="135">
        <f>ROUND(SUM(L41)+SUM(L39),1)</f>
        <v>42.4</v>
      </c>
      <c r="M42" s="136"/>
      <c r="N42" s="790">
        <f>ROUND(SUM(N41)+SUM(N39),1)</f>
        <v>7.5</v>
      </c>
      <c r="O42" s="136"/>
      <c r="P42" s="790">
        <f>ROUND(SUM(P41)+SUM(P39),1)</f>
        <v>7.5</v>
      </c>
      <c r="Q42" s="260"/>
      <c r="R42" s="1006"/>
      <c r="S42" s="3257">
        <f>ROUND(SUM(S39+S41),3)</f>
        <v>34.9</v>
      </c>
      <c r="T42" s="1184"/>
      <c r="U42" s="3479">
        <f>ROUND(IF(P42=0,1,S42/ABS(P42)),3)</f>
        <v>4.6529999999999996</v>
      </c>
      <c r="V42" s="813"/>
    </row>
    <row r="43" spans="1:245" ht="15.6" thickTop="1">
      <c r="A43" s="982"/>
      <c r="B43" s="1034"/>
      <c r="C43" s="1005"/>
      <c r="D43" s="1034"/>
      <c r="E43" s="1005"/>
      <c r="F43" s="1034"/>
      <c r="G43" s="1005"/>
      <c r="H43" s="1034"/>
      <c r="I43" s="1007"/>
      <c r="J43" s="1034"/>
      <c r="K43" s="1005"/>
      <c r="L43" s="1034"/>
      <c r="M43" s="1005"/>
      <c r="N43" s="1034"/>
      <c r="O43" s="1005"/>
      <c r="P43" s="1034"/>
      <c r="Q43" s="1005"/>
      <c r="R43" s="1035"/>
      <c r="S43" s="1008"/>
      <c r="T43" s="1035"/>
      <c r="U43" s="1008"/>
      <c r="V43" s="1008"/>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1009"/>
      <c r="AR43" s="1009"/>
      <c r="AS43" s="1009"/>
      <c r="AT43" s="1009"/>
      <c r="AU43" s="1009"/>
      <c r="AV43" s="1009"/>
      <c r="AW43" s="1009"/>
      <c r="AX43" s="1009"/>
      <c r="AY43" s="1009"/>
      <c r="AZ43" s="1009"/>
      <c r="BA43" s="1009"/>
      <c r="BB43" s="1009"/>
      <c r="BC43" s="1009"/>
      <c r="BD43" s="1009"/>
      <c r="BE43" s="1009"/>
      <c r="BF43" s="1009"/>
      <c r="BG43" s="1009"/>
      <c r="BH43" s="1009"/>
      <c r="BI43" s="1009"/>
      <c r="BJ43" s="1009"/>
      <c r="BK43" s="1009"/>
      <c r="BL43" s="1009"/>
      <c r="BM43" s="1009"/>
      <c r="BN43" s="1009"/>
      <c r="BO43" s="1009"/>
      <c r="BP43" s="1009"/>
      <c r="BQ43" s="1009"/>
      <c r="BR43" s="1009"/>
      <c r="BS43" s="1009"/>
      <c r="BT43" s="1009"/>
      <c r="BU43" s="1009"/>
      <c r="BV43" s="1009"/>
      <c r="BW43" s="1009"/>
      <c r="BX43" s="1009"/>
      <c r="BY43" s="1009"/>
      <c r="BZ43" s="1009"/>
      <c r="CA43" s="1009"/>
      <c r="CB43" s="1009"/>
      <c r="CC43" s="1009"/>
      <c r="CD43" s="1009"/>
      <c r="CE43" s="1009"/>
      <c r="CF43" s="1009"/>
      <c r="CG43" s="1009"/>
      <c r="CH43" s="1009"/>
      <c r="CI43" s="1009"/>
      <c r="CJ43" s="1009"/>
      <c r="CK43" s="1009"/>
      <c r="CL43" s="1009"/>
      <c r="CM43" s="1009"/>
      <c r="CN43" s="1009"/>
      <c r="CO43" s="1009"/>
      <c r="CP43" s="1009"/>
      <c r="CQ43" s="1009"/>
      <c r="CR43" s="1009"/>
      <c r="CS43" s="1009"/>
      <c r="CT43" s="1009"/>
      <c r="CU43" s="1009"/>
      <c r="CV43" s="1009"/>
      <c r="CW43" s="1009"/>
      <c r="CX43" s="1009"/>
      <c r="CY43" s="1009"/>
      <c r="CZ43" s="1009"/>
      <c r="DA43" s="1009"/>
      <c r="DB43" s="1009"/>
      <c r="DC43" s="1009"/>
      <c r="DD43" s="1009"/>
      <c r="DE43" s="1009"/>
      <c r="DF43" s="1009"/>
      <c r="DG43" s="1009"/>
      <c r="DH43" s="1009"/>
      <c r="DI43" s="1009"/>
      <c r="DJ43" s="1009"/>
      <c r="DK43" s="1009"/>
      <c r="DL43" s="1009"/>
      <c r="DM43" s="1009"/>
      <c r="DN43" s="1009"/>
      <c r="DO43" s="1009"/>
      <c r="DP43" s="1009"/>
      <c r="DQ43" s="1009"/>
      <c r="DR43" s="1009"/>
      <c r="DS43" s="1009"/>
      <c r="DT43" s="1009"/>
      <c r="DU43" s="1009"/>
      <c r="DV43" s="1009"/>
      <c r="DW43" s="1009"/>
      <c r="DX43" s="1009"/>
      <c r="DY43" s="1009"/>
      <c r="DZ43" s="1009"/>
      <c r="EA43" s="1009"/>
      <c r="EB43" s="1009"/>
      <c r="EC43" s="1009"/>
      <c r="ED43" s="1009"/>
      <c r="EE43" s="1009"/>
      <c r="EF43" s="1009"/>
      <c r="EG43" s="1009"/>
      <c r="EH43" s="1009"/>
      <c r="EI43" s="1009"/>
      <c r="EJ43" s="1009"/>
      <c r="EK43" s="1009"/>
      <c r="EL43" s="1009"/>
      <c r="EM43" s="1009"/>
      <c r="EN43" s="1009"/>
      <c r="EO43" s="1009"/>
      <c r="EP43" s="1009"/>
      <c r="EQ43" s="1009"/>
      <c r="ER43" s="1009"/>
      <c r="ES43" s="1009"/>
      <c r="ET43" s="1009"/>
      <c r="EU43" s="1009"/>
      <c r="EV43" s="1009"/>
      <c r="EW43" s="1009"/>
      <c r="EX43" s="1009"/>
      <c r="EY43" s="1009"/>
      <c r="EZ43" s="1009"/>
      <c r="FA43" s="1009"/>
      <c r="FB43" s="1009"/>
      <c r="FC43" s="1009"/>
      <c r="FD43" s="1009"/>
      <c r="FE43" s="1009"/>
      <c r="FF43" s="1009"/>
      <c r="FG43" s="1009"/>
      <c r="FH43" s="1009"/>
      <c r="FI43" s="1009"/>
      <c r="FJ43" s="1009"/>
      <c r="FK43" s="1009"/>
      <c r="FL43" s="1009"/>
      <c r="FM43" s="1009"/>
      <c r="FN43" s="1009"/>
      <c r="FO43" s="1009"/>
      <c r="FP43" s="1009"/>
      <c r="FQ43" s="1009"/>
      <c r="FR43" s="1009"/>
      <c r="FS43" s="1009"/>
      <c r="FT43" s="1009"/>
      <c r="FU43" s="1009"/>
      <c r="FV43" s="1009"/>
      <c r="FW43" s="1009"/>
      <c r="FX43" s="1009"/>
      <c r="FY43" s="1009"/>
      <c r="FZ43" s="1009"/>
      <c r="GA43" s="1009"/>
      <c r="GB43" s="1009"/>
      <c r="GC43" s="1009"/>
      <c r="GD43" s="1009"/>
      <c r="GE43" s="1009"/>
      <c r="GF43" s="1009"/>
      <c r="GG43" s="1009"/>
      <c r="GH43" s="1009"/>
      <c r="GI43" s="1009"/>
      <c r="GJ43" s="1009"/>
      <c r="GK43" s="1009"/>
      <c r="GL43" s="1009"/>
      <c r="GM43" s="1009"/>
      <c r="GN43" s="1009"/>
      <c r="GO43" s="1009"/>
      <c r="GP43" s="1009"/>
      <c r="GQ43" s="1009"/>
      <c r="GR43" s="1009"/>
      <c r="GS43" s="1009"/>
      <c r="GT43" s="1009"/>
      <c r="GU43" s="1009"/>
      <c r="GV43" s="1009"/>
      <c r="GW43" s="1009"/>
      <c r="GX43" s="1009"/>
      <c r="GY43" s="1009"/>
      <c r="GZ43" s="1009"/>
      <c r="HA43" s="1009"/>
      <c r="HB43" s="1009"/>
      <c r="HC43" s="1009"/>
      <c r="HD43" s="1009"/>
      <c r="HE43" s="1009"/>
      <c r="HF43" s="1009"/>
      <c r="HG43" s="1009"/>
      <c r="HH43" s="1009"/>
      <c r="HI43" s="1009"/>
      <c r="HJ43" s="1009"/>
      <c r="HK43" s="1009"/>
      <c r="HL43" s="1009"/>
      <c r="HM43" s="1009"/>
      <c r="HN43" s="1009"/>
      <c r="HO43" s="1009"/>
      <c r="HP43" s="1009"/>
      <c r="HQ43" s="1009"/>
      <c r="HR43" s="1009"/>
      <c r="HS43" s="1009"/>
      <c r="HT43" s="1009"/>
      <c r="HU43" s="1009"/>
      <c r="HV43" s="1009"/>
      <c r="HW43" s="1009"/>
      <c r="HX43" s="1009"/>
      <c r="HY43" s="1009"/>
      <c r="HZ43" s="1009"/>
      <c r="IA43" s="1009"/>
      <c r="IB43" s="1009"/>
      <c r="IC43" s="1009"/>
      <c r="ID43" s="1009"/>
      <c r="IE43" s="1009"/>
      <c r="IF43" s="1009"/>
      <c r="IG43" s="1009"/>
      <c r="IH43" s="1009"/>
      <c r="II43" s="1009"/>
      <c r="IJ43" s="1009"/>
      <c r="IK43" s="1009"/>
    </row>
    <row r="44" spans="1:245">
      <c r="A44" s="982"/>
      <c r="B44" s="982"/>
      <c r="C44" s="982"/>
      <c r="D44" s="982"/>
      <c r="E44" s="982"/>
      <c r="F44" s="981"/>
      <c r="G44" s="982"/>
      <c r="H44" s="982"/>
      <c r="I44" s="982"/>
      <c r="J44" s="982"/>
      <c r="K44" s="982"/>
      <c r="L44" s="982"/>
      <c r="M44" s="982"/>
      <c r="N44" s="883"/>
      <c r="O44" s="982"/>
      <c r="P44" s="982"/>
      <c r="Q44" s="982"/>
      <c r="R44" s="983"/>
      <c r="S44" s="1339"/>
      <c r="T44" s="983"/>
      <c r="U44" s="813"/>
      <c r="V44" s="813"/>
    </row>
    <row r="45" spans="1:245">
      <c r="A45" s="982"/>
      <c r="B45" s="982"/>
      <c r="C45" s="982"/>
      <c r="D45" s="982"/>
      <c r="E45" s="982"/>
      <c r="F45" s="981" t="s">
        <v>14</v>
      </c>
      <c r="G45" s="982"/>
      <c r="H45" s="982"/>
      <c r="I45" s="982"/>
      <c r="J45" s="982"/>
      <c r="K45" s="982"/>
      <c r="L45" s="982"/>
      <c r="N45" s="883"/>
      <c r="O45" s="982"/>
      <c r="P45" s="982"/>
      <c r="Q45" s="982"/>
      <c r="R45" s="983"/>
      <c r="S45" s="813"/>
      <c r="T45" s="983"/>
      <c r="U45" s="813"/>
      <c r="V45" s="813"/>
    </row>
    <row r="46" spans="1:245">
      <c r="A46" s="879"/>
      <c r="B46" s="982"/>
      <c r="C46" s="982"/>
      <c r="D46" s="982"/>
      <c r="E46" s="982"/>
      <c r="F46" s="982"/>
      <c r="G46" s="982"/>
      <c r="H46" s="982"/>
      <c r="I46" s="982"/>
      <c r="J46" s="982"/>
      <c r="K46" s="982"/>
      <c r="L46" s="982"/>
      <c r="M46" s="982"/>
      <c r="N46" s="982"/>
      <c r="O46" s="982"/>
      <c r="P46" s="982"/>
      <c r="Q46" s="982"/>
      <c r="R46" s="983"/>
      <c r="S46" s="813"/>
      <c r="T46" s="983"/>
      <c r="U46" s="813"/>
      <c r="V46" s="813"/>
    </row>
    <row r="47" spans="1:245">
      <c r="A47" s="982"/>
      <c r="B47" s="982"/>
      <c r="C47" s="982"/>
      <c r="D47" s="982"/>
      <c r="E47" s="982"/>
      <c r="F47" s="982"/>
      <c r="G47" s="982"/>
      <c r="H47" s="982"/>
      <c r="I47" s="982"/>
      <c r="J47" s="982"/>
      <c r="K47" s="982"/>
      <c r="L47" s="982"/>
      <c r="M47" s="982"/>
      <c r="N47" s="982"/>
      <c r="O47" s="982"/>
      <c r="P47" s="982"/>
      <c r="Q47" s="982"/>
      <c r="R47" s="983"/>
      <c r="S47" s="813"/>
      <c r="T47" s="983"/>
      <c r="U47" s="813"/>
      <c r="V47" s="813"/>
    </row>
    <row r="48" spans="1:245">
      <c r="A48" s="982"/>
      <c r="B48" s="982"/>
      <c r="C48" s="982"/>
      <c r="D48" s="982"/>
      <c r="E48" s="982"/>
      <c r="F48" s="982"/>
      <c r="G48" s="982"/>
      <c r="H48" s="982"/>
      <c r="I48" s="982"/>
      <c r="J48" s="982"/>
      <c r="K48" s="982"/>
      <c r="L48" s="982"/>
      <c r="M48" s="982"/>
      <c r="N48" s="982"/>
      <c r="O48" s="982"/>
      <c r="P48" s="982"/>
      <c r="Q48" s="982"/>
      <c r="R48" s="983"/>
      <c r="S48" s="813"/>
      <c r="T48" s="983"/>
      <c r="U48" s="813"/>
      <c r="V48" s="813"/>
    </row>
    <row r="49" spans="1:22">
      <c r="A49" s="982"/>
      <c r="B49" s="982"/>
      <c r="C49" s="982"/>
      <c r="D49" s="982"/>
      <c r="E49" s="982"/>
      <c r="F49" s="982"/>
      <c r="G49" s="982"/>
      <c r="H49" s="982"/>
      <c r="I49" s="982"/>
      <c r="J49" s="982"/>
      <c r="K49" s="982"/>
      <c r="L49" s="982"/>
      <c r="M49" s="982"/>
      <c r="N49" s="982"/>
      <c r="O49" s="982"/>
      <c r="P49" s="982"/>
      <c r="Q49" s="982"/>
      <c r="R49" s="983"/>
      <c r="S49" s="813"/>
      <c r="T49" s="983"/>
      <c r="U49" s="813"/>
      <c r="V49" s="813"/>
    </row>
    <row r="50" spans="1:22">
      <c r="A50" s="982"/>
      <c r="B50" s="982"/>
      <c r="C50" s="982"/>
      <c r="D50" s="982"/>
      <c r="E50" s="982"/>
      <c r="F50" s="982"/>
      <c r="G50" s="982"/>
      <c r="H50" s="982"/>
      <c r="I50" s="982"/>
      <c r="J50" s="982"/>
      <c r="K50" s="982"/>
      <c r="L50" s="982"/>
      <c r="M50" s="982"/>
      <c r="N50" s="982"/>
      <c r="O50" s="982"/>
      <c r="P50" s="982"/>
      <c r="Q50" s="982"/>
      <c r="R50" s="983"/>
      <c r="S50" s="813"/>
      <c r="T50" s="983"/>
      <c r="U50" s="813"/>
      <c r="V50" s="813"/>
    </row>
    <row r="51" spans="1:22">
      <c r="A51" s="982"/>
      <c r="B51" s="982"/>
      <c r="C51" s="982"/>
      <c r="D51" s="982"/>
      <c r="E51" s="982"/>
      <c r="F51" s="982"/>
      <c r="G51" s="982"/>
      <c r="H51" s="982"/>
      <c r="I51" s="982"/>
      <c r="J51" s="982"/>
      <c r="K51" s="982"/>
      <c r="L51" s="982"/>
      <c r="M51" s="982"/>
      <c r="N51" s="982"/>
      <c r="O51" s="982"/>
      <c r="P51" s="982"/>
      <c r="Q51" s="982"/>
      <c r="R51" s="983"/>
      <c r="S51" s="813"/>
      <c r="T51" s="983"/>
      <c r="U51" s="813"/>
      <c r="V51" s="813"/>
    </row>
    <row r="52" spans="1:22">
      <c r="A52" s="982"/>
      <c r="B52" s="982"/>
      <c r="C52" s="982"/>
      <c r="D52" s="982"/>
      <c r="E52" s="982"/>
      <c r="F52" s="982"/>
      <c r="G52" s="982"/>
      <c r="H52" s="982"/>
      <c r="I52" s="982"/>
      <c r="J52" s="982"/>
      <c r="K52" s="982"/>
      <c r="L52" s="982"/>
      <c r="M52" s="982"/>
      <c r="N52" s="982"/>
      <c r="O52" s="982"/>
      <c r="P52" s="982"/>
      <c r="Q52" s="982"/>
      <c r="R52" s="983"/>
      <c r="S52" s="813"/>
      <c r="T52" s="983"/>
      <c r="U52" s="813"/>
      <c r="V52" s="813"/>
    </row>
    <row r="53" spans="1:22">
      <c r="A53" s="982"/>
      <c r="B53" s="982"/>
      <c r="C53" s="982"/>
      <c r="D53" s="982"/>
      <c r="E53" s="982"/>
      <c r="F53" s="982"/>
      <c r="G53" s="982"/>
      <c r="H53" s="982"/>
      <c r="I53" s="982"/>
      <c r="J53" s="982"/>
      <c r="K53" s="982"/>
      <c r="L53" s="982"/>
      <c r="M53" s="982"/>
      <c r="N53" s="982"/>
      <c r="O53" s="982"/>
      <c r="P53" s="982"/>
      <c r="Q53" s="982"/>
      <c r="R53" s="983"/>
      <c r="S53" s="813"/>
      <c r="T53" s="983"/>
      <c r="U53" s="813"/>
      <c r="V53" s="813"/>
    </row>
    <row r="54" spans="1:22">
      <c r="A54" s="982"/>
      <c r="B54" s="982"/>
      <c r="C54" s="982"/>
      <c r="D54" s="982"/>
      <c r="E54" s="982"/>
      <c r="F54" s="982"/>
      <c r="G54" s="982"/>
      <c r="H54" s="982"/>
      <c r="I54" s="982"/>
      <c r="J54" s="982"/>
      <c r="K54" s="982"/>
      <c r="L54" s="982"/>
      <c r="M54" s="982"/>
      <c r="N54" s="982"/>
      <c r="O54" s="982"/>
      <c r="P54" s="982"/>
      <c r="Q54" s="982"/>
      <c r="R54" s="983"/>
      <c r="S54" s="813"/>
      <c r="T54" s="983"/>
      <c r="U54" s="813"/>
      <c r="V54" s="813"/>
    </row>
    <row r="55" spans="1:22">
      <c r="A55" s="982"/>
      <c r="B55" s="982"/>
      <c r="C55" s="982"/>
      <c r="D55" s="982"/>
      <c r="E55" s="982"/>
      <c r="F55" s="982"/>
      <c r="G55" s="982"/>
      <c r="H55" s="982"/>
      <c r="I55" s="982"/>
      <c r="J55" s="982"/>
      <c r="K55" s="982"/>
      <c r="L55" s="982"/>
      <c r="M55" s="982"/>
      <c r="N55" s="982"/>
      <c r="O55" s="982"/>
      <c r="P55" s="982"/>
      <c r="Q55" s="982"/>
      <c r="R55" s="983"/>
      <c r="S55" s="813"/>
      <c r="T55" s="983"/>
      <c r="U55" s="813"/>
      <c r="V55" s="813"/>
    </row>
    <row r="56" spans="1:22">
      <c r="A56" s="982"/>
      <c r="B56" s="982"/>
      <c r="C56" s="982"/>
      <c r="D56" s="982"/>
      <c r="E56" s="982"/>
      <c r="F56" s="982"/>
      <c r="G56" s="982"/>
      <c r="H56" s="982"/>
      <c r="I56" s="982"/>
      <c r="J56" s="982"/>
      <c r="K56" s="982"/>
      <c r="L56" s="982"/>
      <c r="M56" s="982"/>
      <c r="N56" s="982"/>
      <c r="O56" s="982"/>
      <c r="P56" s="982"/>
      <c r="Q56" s="982"/>
      <c r="R56" s="984"/>
      <c r="S56" s="982"/>
    </row>
    <row r="57" spans="1:22">
      <c r="A57" s="982"/>
      <c r="B57" s="982"/>
      <c r="C57" s="982"/>
      <c r="D57" s="982"/>
      <c r="E57" s="982"/>
      <c r="F57" s="982"/>
      <c r="G57" s="982"/>
      <c r="H57" s="982"/>
      <c r="I57" s="982"/>
      <c r="J57" s="982"/>
      <c r="K57" s="982"/>
      <c r="L57" s="982"/>
      <c r="M57" s="982"/>
      <c r="N57" s="982"/>
      <c r="O57" s="982"/>
      <c r="P57" s="982"/>
      <c r="Q57" s="982"/>
      <c r="R57" s="984"/>
      <c r="S57" s="982"/>
    </row>
    <row r="58" spans="1:22">
      <c r="A58" s="982"/>
      <c r="B58" s="982"/>
      <c r="C58" s="982"/>
      <c r="D58" s="982"/>
      <c r="E58" s="982"/>
      <c r="F58" s="982"/>
      <c r="G58" s="982"/>
      <c r="H58" s="982"/>
      <c r="I58" s="982"/>
      <c r="J58" s="982"/>
      <c r="K58" s="982"/>
      <c r="L58" s="982"/>
      <c r="M58" s="982"/>
      <c r="N58" s="982"/>
      <c r="O58" s="982"/>
      <c r="P58" s="982"/>
      <c r="Q58" s="982"/>
      <c r="R58" s="984"/>
      <c r="S58" s="982"/>
    </row>
    <row r="59" spans="1:22">
      <c r="A59" s="982"/>
      <c r="B59" s="982"/>
      <c r="C59" s="982"/>
      <c r="D59" s="982"/>
      <c r="E59" s="982"/>
      <c r="F59" s="982"/>
      <c r="G59" s="982"/>
      <c r="H59" s="982"/>
      <c r="I59" s="982"/>
      <c r="J59" s="982"/>
      <c r="K59" s="982"/>
      <c r="L59" s="982"/>
      <c r="M59" s="982"/>
      <c r="N59" s="982"/>
      <c r="O59" s="982"/>
      <c r="P59" s="982"/>
      <c r="Q59" s="982"/>
      <c r="R59" s="984"/>
      <c r="S59" s="982"/>
    </row>
    <row r="60" spans="1:22">
      <c r="A60" s="982"/>
      <c r="B60" s="982"/>
      <c r="C60" s="982"/>
      <c r="D60" s="982"/>
      <c r="E60" s="982"/>
      <c r="F60" s="982"/>
      <c r="G60" s="982"/>
      <c r="H60" s="982"/>
      <c r="I60" s="982"/>
      <c r="J60" s="982"/>
      <c r="K60" s="982"/>
      <c r="L60" s="982"/>
      <c r="M60" s="982"/>
      <c r="N60" s="982"/>
      <c r="O60" s="982"/>
      <c r="P60" s="982"/>
      <c r="Q60" s="982"/>
      <c r="R60" s="984"/>
      <c r="S60" s="982"/>
    </row>
    <row r="61" spans="1:22">
      <c r="A61" s="982"/>
      <c r="B61" s="982"/>
      <c r="C61" s="982"/>
      <c r="D61" s="982"/>
      <c r="E61" s="982"/>
      <c r="F61" s="982"/>
      <c r="G61" s="982"/>
      <c r="H61" s="982"/>
      <c r="I61" s="982"/>
      <c r="J61" s="982"/>
      <c r="K61" s="982"/>
      <c r="L61" s="982"/>
      <c r="M61" s="982"/>
      <c r="N61" s="982"/>
      <c r="O61" s="982"/>
      <c r="P61" s="982"/>
      <c r="Q61" s="982"/>
      <c r="R61" s="984"/>
      <c r="S61" s="982"/>
    </row>
  </sheetData>
  <mergeCells count="1">
    <mergeCell ref="S12:U12"/>
  </mergeCells>
  <pageMargins left="0.25" right="0.25" top="0.5" bottom="0.5" header="0" footer="0.25"/>
  <pageSetup scale="59"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1640625" defaultRowHeight="15"/>
  <cols>
    <col min="1" max="1" width="45.81640625" style="98" customWidth="1"/>
    <col min="2" max="2" width="2.453125" style="98" customWidth="1"/>
    <col min="3" max="3" width="15.08984375" style="98" customWidth="1"/>
    <col min="4" max="4" width="1.81640625" style="98" customWidth="1"/>
    <col min="5" max="5" width="15.08984375" style="98" customWidth="1"/>
    <col min="6" max="6" width="2.81640625" style="98" customWidth="1"/>
    <col min="7" max="7" width="15.08984375" style="98" customWidth="1"/>
    <col min="8" max="8" width="2" style="98" customWidth="1"/>
    <col min="9" max="9" width="14.81640625" style="98" customWidth="1"/>
    <col min="10" max="10" width="2.08984375" style="98" customWidth="1"/>
    <col min="11" max="11" width="14.08984375" style="98" customWidth="1"/>
    <col min="12" max="12" width="8.81640625" style="98"/>
    <col min="13" max="13" width="10.08984375" style="98" bestFit="1" customWidth="1"/>
    <col min="14" max="16384" width="8.81640625" style="98"/>
  </cols>
  <sheetData>
    <row r="1" spans="1:11">
      <c r="A1" s="911" t="s">
        <v>881</v>
      </c>
    </row>
    <row r="2" spans="1:11">
      <c r="A2" s="814"/>
    </row>
    <row r="3" spans="1:11" s="3936" customFormat="1" ht="18" customHeight="1">
      <c r="A3" s="3937" t="s">
        <v>0</v>
      </c>
      <c r="B3" s="3938"/>
      <c r="C3" s="3938"/>
      <c r="D3" s="3939"/>
      <c r="E3" s="3938"/>
      <c r="F3" s="140"/>
      <c r="G3" s="140"/>
      <c r="H3" s="140"/>
      <c r="I3" s="140"/>
      <c r="J3" s="140"/>
      <c r="K3" s="141" t="s">
        <v>82</v>
      </c>
    </row>
    <row r="4" spans="1:11" s="3936" customFormat="1" ht="18" customHeight="1">
      <c r="A4" s="3937" t="s">
        <v>81</v>
      </c>
      <c r="B4" s="3938"/>
      <c r="C4" s="3938"/>
      <c r="D4" s="3939"/>
      <c r="E4" s="3938"/>
      <c r="F4" s="140"/>
      <c r="G4" s="140"/>
      <c r="H4" s="140"/>
      <c r="I4" s="141"/>
      <c r="J4" s="142"/>
    </row>
    <row r="5" spans="1:11" s="3936" customFormat="1" ht="18" customHeight="1">
      <c r="A5" s="3963" t="s">
        <v>1375</v>
      </c>
      <c r="B5" s="3964"/>
      <c r="C5" s="3964"/>
      <c r="D5" s="3964"/>
      <c r="E5" s="3964"/>
      <c r="F5" s="140"/>
      <c r="G5" s="143"/>
      <c r="H5" s="140"/>
      <c r="I5" s="140"/>
      <c r="J5" s="140"/>
      <c r="K5" s="140"/>
    </row>
    <row r="6" spans="1:11" s="3936" customFormat="1" ht="18" customHeight="1">
      <c r="A6" s="3940" t="s">
        <v>1571</v>
      </c>
      <c r="B6" s="3941"/>
      <c r="C6" s="3942"/>
      <c r="D6" s="3939"/>
      <c r="E6" s="3942"/>
      <c r="F6" s="140"/>
      <c r="G6" s="140"/>
      <c r="H6" s="140"/>
      <c r="I6" s="140"/>
      <c r="J6" s="140"/>
      <c r="K6" s="140"/>
    </row>
    <row r="7" spans="1:11" s="3936" customFormat="1" ht="18" customHeight="1">
      <c r="A7" s="3943" t="s">
        <v>1264</v>
      </c>
      <c r="B7" s="3942"/>
      <c r="C7" s="3942"/>
      <c r="D7" s="3939"/>
      <c r="E7" s="3942"/>
      <c r="F7" s="140"/>
      <c r="G7" s="140"/>
      <c r="H7" s="140"/>
      <c r="I7" s="140"/>
      <c r="J7" s="140"/>
      <c r="K7" s="140"/>
    </row>
    <row r="8" spans="1:11" ht="17.399999999999999">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ht="15.6">
      <c r="A11" s="28"/>
      <c r="B11" s="148"/>
      <c r="C11" s="3965" t="s">
        <v>1037</v>
      </c>
      <c r="D11" s="3965"/>
      <c r="E11" s="3965"/>
      <c r="F11" s="3965"/>
      <c r="G11" s="3965"/>
      <c r="H11" s="3965"/>
      <c r="I11" s="3965"/>
      <c r="J11" s="1160"/>
      <c r="K11" s="1161"/>
    </row>
    <row r="12" spans="1:11" ht="15.6">
      <c r="A12" s="28"/>
      <c r="B12" s="148"/>
      <c r="C12" s="149"/>
      <c r="D12" s="149"/>
      <c r="E12" s="149"/>
      <c r="F12" s="149"/>
      <c r="G12" s="149"/>
      <c r="H12" s="149"/>
      <c r="I12" s="150" t="s">
        <v>83</v>
      </c>
      <c r="J12" s="150"/>
      <c r="K12" s="150" t="s">
        <v>83</v>
      </c>
    </row>
    <row r="13" spans="1:11" ht="15.6">
      <c r="A13" s="28"/>
      <c r="B13" s="148"/>
      <c r="C13" s="149"/>
      <c r="D13" s="149"/>
      <c r="E13" s="149"/>
      <c r="F13" s="149"/>
      <c r="G13" s="149"/>
      <c r="H13" s="149"/>
      <c r="I13" s="150" t="s">
        <v>795</v>
      </c>
      <c r="J13" s="150"/>
      <c r="K13" s="150" t="s">
        <v>795</v>
      </c>
    </row>
    <row r="14" spans="1:11" ht="15.6">
      <c r="A14" s="679" t="s">
        <v>1163</v>
      </c>
      <c r="B14" s="148"/>
      <c r="C14" s="151" t="s">
        <v>988</v>
      </c>
      <c r="D14" s="149"/>
      <c r="E14" s="150" t="s">
        <v>989</v>
      </c>
      <c r="F14" s="149"/>
      <c r="G14" s="149"/>
      <c r="H14" s="149"/>
      <c r="I14" s="150" t="s">
        <v>84</v>
      </c>
      <c r="J14" s="150"/>
      <c r="K14" s="150" t="s">
        <v>84</v>
      </c>
    </row>
    <row r="15" spans="1:11" ht="15.6">
      <c r="A15" s="28"/>
      <c r="B15" s="148"/>
      <c r="C15" s="150" t="s">
        <v>1024</v>
      </c>
      <c r="D15" s="149"/>
      <c r="E15" s="150" t="s">
        <v>1024</v>
      </c>
      <c r="F15" s="149"/>
      <c r="G15" s="149"/>
      <c r="H15" s="149"/>
      <c r="I15" s="150" t="s">
        <v>988</v>
      </c>
      <c r="J15" s="150"/>
      <c r="K15" s="150" t="s">
        <v>989</v>
      </c>
    </row>
    <row r="16" spans="1:11" ht="15.6">
      <c r="A16" s="28"/>
      <c r="B16" s="148"/>
      <c r="C16" s="150" t="s">
        <v>1025</v>
      </c>
      <c r="D16" s="149"/>
      <c r="E16" s="150" t="s">
        <v>1511</v>
      </c>
      <c r="F16" s="149"/>
      <c r="G16" s="151" t="s">
        <v>83</v>
      </c>
      <c r="H16" s="149"/>
      <c r="I16" s="150" t="s">
        <v>85</v>
      </c>
      <c r="J16" s="150"/>
      <c r="K16" s="150" t="s">
        <v>85</v>
      </c>
    </row>
    <row r="17" spans="1:13">
      <c r="A17" s="152"/>
      <c r="B17" s="153"/>
      <c r="C17" s="154"/>
      <c r="D17" s="140"/>
      <c r="E17" s="154"/>
      <c r="F17" s="140"/>
      <c r="G17" s="154"/>
      <c r="H17" s="140"/>
      <c r="I17" s="154"/>
      <c r="J17" s="153"/>
      <c r="K17" s="154"/>
    </row>
    <row r="18" spans="1:13" ht="15.6">
      <c r="A18" s="26" t="s">
        <v>13</v>
      </c>
      <c r="B18" s="155"/>
      <c r="C18" s="156"/>
      <c r="D18" s="156"/>
      <c r="E18" s="156"/>
      <c r="F18" s="156"/>
      <c r="G18" s="156"/>
      <c r="H18" s="156"/>
      <c r="I18" s="156"/>
      <c r="J18" s="156"/>
      <c r="K18" s="155"/>
    </row>
    <row r="19" spans="1:13" ht="15" customHeight="1">
      <c r="A19" s="809" t="s">
        <v>86</v>
      </c>
      <c r="B19" s="157" t="s">
        <v>14</v>
      </c>
      <c r="C19" s="158"/>
      <c r="D19" s="157"/>
      <c r="E19" s="158"/>
      <c r="F19" s="157"/>
      <c r="G19" s="96"/>
      <c r="H19" s="157"/>
      <c r="I19" s="96"/>
      <c r="J19" s="96"/>
      <c r="K19" s="49"/>
    </row>
    <row r="20" spans="1:13">
      <c r="A20" s="159" t="s">
        <v>87</v>
      </c>
      <c r="B20" s="157" t="s">
        <v>14</v>
      </c>
      <c r="C20" s="1858">
        <f>'Exh D General Fund'!C20+'Exh D Special Revenue'!C20+'Exh D Debt Service'!C20</f>
        <v>51896</v>
      </c>
      <c r="D20" s="2121"/>
      <c r="E20" s="1858">
        <f>+'Exh D General Fund'!E20+'Exh D Special Revenue'!E20+'Exh D Debt Service'!E20</f>
        <v>60620</v>
      </c>
      <c r="F20" s="160"/>
      <c r="G20" s="47">
        <f>+'Exh D General Fund'!G20+'Exh D Special Revenue'!G20+'Exh D Debt Service'!G20</f>
        <v>59472</v>
      </c>
      <c r="H20" s="160"/>
      <c r="I20" s="47">
        <f>G20-C20</f>
        <v>7576</v>
      </c>
      <c r="J20" s="161"/>
      <c r="K20" s="959">
        <f>G20-E20</f>
        <v>-1148</v>
      </c>
      <c r="M20" s="1162"/>
    </row>
    <row r="21" spans="1:13">
      <c r="A21" s="809" t="s">
        <v>88</v>
      </c>
      <c r="B21" s="155" t="s">
        <v>14</v>
      </c>
      <c r="C21" s="115">
        <f>+'Exh D General Fund'!C21+'Exh D Debt Service'!C21+'Exh D Special Revenue'!C21+'Exh D Capital Projects'!C20</f>
        <v>15307</v>
      </c>
      <c r="D21" s="115"/>
      <c r="E21" s="115">
        <f>+'Exh D General Fund'!E21+'Exh D Special Revenue'!E21+'Exh D Debt Service'!E21+'Exh D Capital Projects'!E20</f>
        <v>16442</v>
      </c>
      <c r="F21" s="63"/>
      <c r="G21" s="63">
        <f>+'Exh D General Fund'!G21+'Exh D Special Revenue'!G21+'Exh D Debt Service'!G21+'Exh D Capital Projects'!G20</f>
        <v>16462</v>
      </c>
      <c r="H21" s="63"/>
      <c r="I21" s="63">
        <f>G21-C21</f>
        <v>1155</v>
      </c>
      <c r="J21" s="161"/>
      <c r="K21" s="931">
        <f t="shared" ref="K21:K25" si="0">G21-E21</f>
        <v>20</v>
      </c>
      <c r="M21" s="1162"/>
    </row>
    <row r="22" spans="1:13" ht="15" customHeight="1">
      <c r="A22" s="809" t="s">
        <v>89</v>
      </c>
      <c r="B22" s="157" t="s">
        <v>14</v>
      </c>
      <c r="C22" s="115">
        <f>+'Exh D General Fund'!C22+'Exh D Special Revenue'!C22+'Exh D Capital Projects'!C21+'Exh D Debt Service'!C22</f>
        <v>6823</v>
      </c>
      <c r="D22" s="116"/>
      <c r="E22" s="115">
        <f>+'Exh D General Fund'!E22+'Exh D Special Revenue'!E22+'Exh D Capital Projects'!E21+'Exh D Debt Service'!E22</f>
        <v>19384</v>
      </c>
      <c r="F22" s="74"/>
      <c r="G22" s="63">
        <f>+'Exh D General Fund'!G22+'Exh D Special Revenue'!G22+'Exh D Capital Projects'!G21+'Exh D Debt Service'!G22</f>
        <v>19501.5</v>
      </c>
      <c r="H22" s="74"/>
      <c r="I22" s="63">
        <f t="shared" ref="I22:I25" si="1">G22-C22</f>
        <v>12678.5</v>
      </c>
      <c r="J22" s="161"/>
      <c r="K22" s="931">
        <f t="shared" si="0"/>
        <v>117.5</v>
      </c>
      <c r="M22" s="1162"/>
    </row>
    <row r="23" spans="1:13" ht="14.25" customHeight="1">
      <c r="A23" s="809" t="s">
        <v>90</v>
      </c>
      <c r="B23" s="155" t="s">
        <v>14</v>
      </c>
      <c r="C23" s="115">
        <f>+'Exh D General Fund'!C23+'Exh D Capital Projects'!C22+'Exh D Debt Service'!C23</f>
        <v>1942</v>
      </c>
      <c r="D23" s="115"/>
      <c r="E23" s="115">
        <f>+'Exh D General Fund'!E23+'Exh D Debt Service'!E23+'Exh D Capital Projects'!E22</f>
        <v>2551</v>
      </c>
      <c r="F23" s="63"/>
      <c r="G23" s="63">
        <f>+'Exh D General Fund'!G23+'Exh D Debt Service'!G23+'Exh D Capital Projects'!G22</f>
        <v>2570.9</v>
      </c>
      <c r="H23" s="63"/>
      <c r="I23" s="63">
        <f t="shared" si="1"/>
        <v>628.90000000000009</v>
      </c>
      <c r="J23" s="161"/>
      <c r="K23" s="931">
        <f t="shared" si="0"/>
        <v>19.900000000000091</v>
      </c>
      <c r="L23" s="1162"/>
      <c r="M23" s="1162"/>
    </row>
    <row r="24" spans="1:13">
      <c r="A24" s="809" t="s">
        <v>19</v>
      </c>
      <c r="B24" s="155" t="s">
        <v>14</v>
      </c>
      <c r="C24" s="115">
        <f>+'Exh D General Fund'!C24+'Exh D Special Revenue'!C23+'Exh D Debt Service'!C24+'Exh D Capital Projects'!C23</f>
        <v>21159</v>
      </c>
      <c r="D24" s="115"/>
      <c r="E24" s="115">
        <f>+'Exh D General Fund'!E24+'Exh D Special Revenue'!E23+'Exh D Debt Service'!E24+'Exh D Capital Projects'!E23</f>
        <v>22217</v>
      </c>
      <c r="F24" s="63"/>
      <c r="G24" s="115">
        <f>+'Exh D General Fund'!G24+'Exh D Special Revenue'!G23+'Exh D Debt Service'!G24+'Exh D Capital Projects'!G23</f>
        <v>21094.899999999998</v>
      </c>
      <c r="H24" s="63"/>
      <c r="I24" s="63">
        <f t="shared" si="1"/>
        <v>-64.100000000002183</v>
      </c>
      <c r="J24" s="162"/>
      <c r="K24" s="931">
        <f t="shared" si="0"/>
        <v>-1122.1000000000022</v>
      </c>
      <c r="M24" s="1162"/>
    </row>
    <row r="25" spans="1:13" ht="15" customHeight="1">
      <c r="A25" s="809" t="s">
        <v>20</v>
      </c>
      <c r="B25" s="155" t="s">
        <v>14</v>
      </c>
      <c r="C25" s="666">
        <f>+'Exh D General Fund'!C25+'Exh D Debt Service'!C25+'Exh D Special Revenue'!C24+'Exh D Capital Projects'!C24</f>
        <v>83588</v>
      </c>
      <c r="D25" s="115"/>
      <c r="E25" s="666">
        <f>+'Exh D General Fund'!E25+'Exh D Special Revenue'!E24+'Exh D Debt Service'!E25+'Exh D Capital Projects'!E24</f>
        <v>82908</v>
      </c>
      <c r="F25" s="63"/>
      <c r="G25" s="273">
        <f>+'Exh D General Fund'!G25+'Exh D Special Revenue'!G24+'Exh D Debt Service'!G25+'Exh D Capital Projects'!G24</f>
        <v>81654.200000000012</v>
      </c>
      <c r="H25" s="63"/>
      <c r="I25" s="63">
        <f t="shared" si="1"/>
        <v>-1933.7999999999884</v>
      </c>
      <c r="J25" s="162"/>
      <c r="K25" s="931">
        <f t="shared" si="0"/>
        <v>-1253.7999999999884</v>
      </c>
      <c r="M25" s="1162"/>
    </row>
    <row r="26" spans="1:13" ht="15.6">
      <c r="A26" s="170" t="s">
        <v>91</v>
      </c>
      <c r="B26" s="148" t="s">
        <v>14</v>
      </c>
      <c r="C26" s="1468">
        <f>ROUND(SUM(C20:C25),1)</f>
        <v>180715</v>
      </c>
      <c r="D26" s="109"/>
      <c r="E26" s="1468">
        <f>ROUND(SUM(E20:E25),1)</f>
        <v>204122</v>
      </c>
      <c r="F26" s="59"/>
      <c r="G26" s="212">
        <f>ROUND(SUM(G20:G25),1)</f>
        <v>200755.5</v>
      </c>
      <c r="H26" s="59"/>
      <c r="I26" s="212">
        <f>ROUND(SUM(I20:I25),1)</f>
        <v>20040.5</v>
      </c>
      <c r="J26" s="163"/>
      <c r="K26" s="212">
        <f>ROUND(SUM(K20:K25),1)</f>
        <v>-3366.5</v>
      </c>
      <c r="M26" s="1162"/>
    </row>
    <row r="27" spans="1:13">
      <c r="A27" s="28"/>
      <c r="B27" s="155" t="s">
        <v>14</v>
      </c>
      <c r="C27" s="123"/>
      <c r="D27" s="115"/>
      <c r="E27" s="123"/>
      <c r="F27" s="63"/>
      <c r="G27" s="85"/>
      <c r="H27" s="63"/>
      <c r="I27" s="85"/>
      <c r="J27" s="56"/>
      <c r="K27" s="85"/>
      <c r="M27" s="1162"/>
    </row>
    <row r="28" spans="1:13" ht="15.6">
      <c r="A28" s="26" t="s">
        <v>22</v>
      </c>
      <c r="B28" s="155" t="s">
        <v>14</v>
      </c>
      <c r="C28" s="115"/>
      <c r="D28" s="115"/>
      <c r="E28" s="115"/>
      <c r="F28" s="63"/>
      <c r="G28" s="63"/>
      <c r="H28" s="63"/>
      <c r="I28" s="63"/>
      <c r="J28" s="162"/>
      <c r="K28" s="53"/>
      <c r="M28" s="1162"/>
    </row>
    <row r="29" spans="1:13">
      <c r="A29" s="809" t="s">
        <v>92</v>
      </c>
      <c r="B29" s="155" t="s">
        <v>14</v>
      </c>
      <c r="C29" s="666">
        <f>+'Exh D General Fund'!C34+'Exh D Special Revenue'!C29+'Exh D Capital Projects'!C30</f>
        <v>126142</v>
      </c>
      <c r="D29" s="115"/>
      <c r="E29" s="666">
        <f>+'Exh D General Fund'!E34+'Exh D Special Revenue'!E29+'Exh D Capital Projects'!E30</f>
        <v>123106</v>
      </c>
      <c r="F29" s="63"/>
      <c r="G29" s="666">
        <f>+'Exh D General Fund'!G34+'Exh D Special Revenue'!G29+'Exh D Capital Projects'!G30</f>
        <v>120883.3</v>
      </c>
      <c r="H29" s="63"/>
      <c r="I29" s="63">
        <f t="shared" ref="I29:I33" si="2">G29-C29</f>
        <v>-5258.6999999999971</v>
      </c>
      <c r="J29" s="162"/>
      <c r="K29" s="931">
        <f>G29-E29</f>
        <v>-2222.6999999999971</v>
      </c>
      <c r="M29" s="1162"/>
    </row>
    <row r="30" spans="1:13">
      <c r="A30" s="809" t="s">
        <v>93</v>
      </c>
      <c r="B30" s="155" t="s">
        <v>14</v>
      </c>
      <c r="C30" s="116">
        <f>+'Exh D General Fund'!C35+'Exh D Special Revenue'!C30+'Exh D Debt Service'!C30</f>
        <v>20037</v>
      </c>
      <c r="D30" s="115"/>
      <c r="E30" s="116">
        <f>+'Exh D General Fund'!E35+'Exh D Special Revenue'!E30+'Exh D Debt Service'!E30</f>
        <v>19487</v>
      </c>
      <c r="F30" s="63"/>
      <c r="G30" s="74">
        <f>+'Exh D General Fund'!G35+'Exh D Special Revenue'!G30+'Exh D Debt Service'!G30</f>
        <v>19214.200000000004</v>
      </c>
      <c r="H30" s="63"/>
      <c r="I30" s="63">
        <f t="shared" si="2"/>
        <v>-822.79999999999563</v>
      </c>
      <c r="J30" s="162"/>
      <c r="K30" s="931">
        <f>G30-E30</f>
        <v>-272.79999999999563</v>
      </c>
      <c r="M30" s="1162"/>
    </row>
    <row r="31" spans="1:13">
      <c r="A31" s="809" t="s">
        <v>68</v>
      </c>
      <c r="B31" s="155" t="s">
        <v>14</v>
      </c>
      <c r="C31" s="666">
        <f>+'Exh D General Fund'!C36+'Exh D Special Revenue'!C31</f>
        <v>8435</v>
      </c>
      <c r="D31" s="115"/>
      <c r="E31" s="666">
        <f>+'Exh D General Fund'!E36+'Exh D Special Revenue'!E31</f>
        <v>8497</v>
      </c>
      <c r="F31" s="63"/>
      <c r="G31" s="273">
        <f>+'Exh D General Fund'!G36+'Exh D Special Revenue'!G31</f>
        <v>8485</v>
      </c>
      <c r="H31" s="63"/>
      <c r="I31" s="63">
        <f t="shared" si="2"/>
        <v>50</v>
      </c>
      <c r="J31" s="162"/>
      <c r="K31" s="931">
        <f>G31-E31</f>
        <v>-12</v>
      </c>
      <c r="M31" s="1162"/>
    </row>
    <row r="32" spans="1:13">
      <c r="A32" s="809" t="s">
        <v>94</v>
      </c>
      <c r="B32" s="155" t="s">
        <v>14</v>
      </c>
      <c r="C32" s="116">
        <f>+'Exh D Debt Service'!C31+'Exh D Special Revenue'!C32</f>
        <v>1591</v>
      </c>
      <c r="D32" s="115"/>
      <c r="E32" s="116">
        <f>+'Exh D Debt Service'!E31+'Exh D Special Revenue'!E32</f>
        <v>1493</v>
      </c>
      <c r="F32" s="63"/>
      <c r="G32" s="74">
        <f>+'Exh D Debt Service'!G31+'Exh D Special Revenue'!K32</f>
        <v>1492.5</v>
      </c>
      <c r="H32" s="63"/>
      <c r="I32" s="63">
        <f t="shared" si="2"/>
        <v>-98.5</v>
      </c>
      <c r="J32" s="162"/>
      <c r="K32" s="931">
        <f>G32-E32</f>
        <v>-0.5</v>
      </c>
      <c r="M32" s="1162"/>
    </row>
    <row r="33" spans="1:14" ht="15" customHeight="1">
      <c r="A33" s="809" t="s">
        <v>41</v>
      </c>
      <c r="B33" s="155" t="s">
        <v>14</v>
      </c>
      <c r="C33" s="666">
        <f>+'Exh D Special Revenue'!C33+'Exh D Capital Projects'!C31</f>
        <v>7129</v>
      </c>
      <c r="D33" s="115"/>
      <c r="E33" s="666">
        <f>+'Exh D Special Revenue'!E33+'Exh D Capital Projects'!E31</f>
        <v>6251</v>
      </c>
      <c r="F33" s="63"/>
      <c r="G33" s="273">
        <f>+'Exh D Special Revenue'!G33+'Exh D Capital Projects'!G31</f>
        <v>6062.4</v>
      </c>
      <c r="H33" s="63"/>
      <c r="I33" s="63">
        <f t="shared" si="2"/>
        <v>-1066.6000000000004</v>
      </c>
      <c r="J33" s="162"/>
      <c r="K33" s="931">
        <f>G33-E33</f>
        <v>-188.60000000000036</v>
      </c>
      <c r="M33" s="1162"/>
    </row>
    <row r="34" spans="1:14" ht="15.75" customHeight="1">
      <c r="A34" s="170" t="s">
        <v>95</v>
      </c>
      <c r="B34" s="148" t="s">
        <v>14</v>
      </c>
      <c r="C34" s="1084">
        <f>ROUND(SUM(C29:C33),1)</f>
        <v>163334</v>
      </c>
      <c r="D34" s="109"/>
      <c r="E34" s="1084">
        <f>ROUND(SUM(E29:E33),1)</f>
        <v>158834</v>
      </c>
      <c r="F34" s="59"/>
      <c r="G34" s="291">
        <f>ROUND(SUM(G29:G33),1)</f>
        <v>156137.4</v>
      </c>
      <c r="H34" s="59"/>
      <c r="I34" s="291">
        <f>ROUND(SUM(I29:I33),1)</f>
        <v>-7196.6</v>
      </c>
      <c r="J34" s="163"/>
      <c r="K34" s="291">
        <f>ROUND(SUM(K29:K33),1)</f>
        <v>-2696.6</v>
      </c>
      <c r="M34" s="1162"/>
    </row>
    <row r="35" spans="1:14">
      <c r="A35" s="28"/>
      <c r="B35" s="155"/>
      <c r="C35" s="115"/>
      <c r="D35" s="115"/>
      <c r="E35" s="115"/>
      <c r="F35" s="63"/>
      <c r="G35" s="63"/>
      <c r="H35" s="63"/>
      <c r="I35" s="63"/>
      <c r="J35" s="162"/>
      <c r="K35" s="53"/>
      <c r="M35" s="1162"/>
    </row>
    <row r="36" spans="1:14" ht="15.6">
      <c r="A36" s="170" t="s">
        <v>43</v>
      </c>
      <c r="B36" s="155"/>
      <c r="C36" s="115"/>
      <c r="D36" s="115"/>
      <c r="E36" s="115"/>
      <c r="F36" s="63"/>
      <c r="G36" s="63"/>
      <c r="H36" s="63"/>
      <c r="I36" s="63"/>
      <c r="J36" s="162"/>
      <c r="K36" s="53"/>
      <c r="M36" s="1162"/>
    </row>
    <row r="37" spans="1:14" ht="15.6">
      <c r="A37" s="170" t="s">
        <v>44</v>
      </c>
      <c r="B37" s="155" t="s">
        <v>14</v>
      </c>
      <c r="C37" s="110">
        <f>ROUND(SUM(+C26-C34),1)</f>
        <v>17381</v>
      </c>
      <c r="D37" s="115"/>
      <c r="E37" s="110">
        <f>ROUND(SUM(+E26-E34),1)</f>
        <v>45288</v>
      </c>
      <c r="F37" s="63"/>
      <c r="G37" s="71">
        <f>ROUND(SUM(+G26-G34),1)</f>
        <v>44618.1</v>
      </c>
      <c r="H37" s="63"/>
      <c r="I37" s="71">
        <f>ROUND(SUM(+I26-I34),1)</f>
        <v>27237.1</v>
      </c>
      <c r="J37" s="56"/>
      <c r="K37" s="817">
        <f>ROUND(SUM(+K26-K34),1)</f>
        <v>-669.9</v>
      </c>
      <c r="M37" s="1162"/>
    </row>
    <row r="38" spans="1:14">
      <c r="A38" s="28"/>
      <c r="B38" s="155"/>
      <c r="C38" s="115"/>
      <c r="D38" s="115"/>
      <c r="E38" s="115"/>
      <c r="F38" s="63"/>
      <c r="G38" s="63"/>
      <c r="H38" s="63"/>
      <c r="I38" s="63"/>
      <c r="J38" s="162"/>
      <c r="K38" s="53"/>
      <c r="M38" s="1162"/>
    </row>
    <row r="39" spans="1:14" ht="15.6">
      <c r="A39" s="170" t="s">
        <v>45</v>
      </c>
      <c r="B39" s="155"/>
      <c r="C39" s="115"/>
      <c r="D39" s="115"/>
      <c r="E39" s="115"/>
      <c r="F39" s="63"/>
      <c r="G39" s="63"/>
      <c r="H39" s="63"/>
      <c r="I39" s="63"/>
      <c r="J39" s="162"/>
      <c r="K39" s="53"/>
      <c r="M39" s="1162"/>
      <c r="N39" s="919" t="s">
        <v>14</v>
      </c>
    </row>
    <row r="40" spans="1:14">
      <c r="A40" s="809" t="s">
        <v>96</v>
      </c>
      <c r="B40" s="155" t="s">
        <v>14</v>
      </c>
      <c r="C40" s="1068">
        <f>'Exh D Captl Projects State Fed'!C25</f>
        <v>0</v>
      </c>
      <c r="D40" s="115"/>
      <c r="E40" s="1068">
        <f>'Exh D Captl Projects State Fed'!E25</f>
        <v>0</v>
      </c>
      <c r="F40" s="63"/>
      <c r="G40" s="274">
        <f>'Exh D Captl Projects State Fed'!G25</f>
        <v>0</v>
      </c>
      <c r="H40" s="63"/>
      <c r="I40" s="63">
        <f>ROUND(SUM(G40)-SUM(C40),1)</f>
        <v>0</v>
      </c>
      <c r="J40" s="168"/>
      <c r="K40" s="931">
        <v>0</v>
      </c>
      <c r="M40" s="1162"/>
    </row>
    <row r="41" spans="1:14">
      <c r="A41" s="809" t="s">
        <v>46</v>
      </c>
      <c r="B41" s="155" t="s">
        <v>14</v>
      </c>
      <c r="C41" s="116">
        <f>+'Exh D General Fund'!C27+'Exh D General Fund'!C28+'Exh D General Fund'!C29+'Exh D General Fund'!C30+'Exh D Special Revenue'!C25+'Exh D Debt Service'!C26+'Exh D Capital Projects'!C26</f>
        <v>42524</v>
      </c>
      <c r="D41" s="115"/>
      <c r="E41" s="116">
        <f>+'Exh D General Fund'!E27+'Exh D General Fund'!E28+'Exh D General Fund'!E29+'Exh D General Fund'!E30+'Exh D Special Revenue'!E25+'Exh D Debt Service'!E26+'Exh D Capital Projects'!E26</f>
        <v>50962</v>
      </c>
      <c r="F41" s="63"/>
      <c r="G41" s="74">
        <f>+'Exh D General Fund'!G27+'Exh D General Fund'!G28+'Exh D General Fund'!G29+'Exh D General Fund'!G30+'Exh D Special Revenue'!K25+'Exh D Debt Service'!G26+'Exh D Capital Projects'!K26</f>
        <v>50190.8</v>
      </c>
      <c r="H41" s="63"/>
      <c r="I41" s="1511">
        <f>ROUND(SUM(G41)-SUM(C41),1)</f>
        <v>7666.8</v>
      </c>
      <c r="J41" s="162"/>
      <c r="K41" s="931">
        <f>ROUND(SUM(G41)-SUM(E41),1)</f>
        <v>-771.2</v>
      </c>
      <c r="M41" s="1162"/>
    </row>
    <row r="42" spans="1:14">
      <c r="A42" s="809" t="s">
        <v>97</v>
      </c>
      <c r="B42" s="155" t="s">
        <v>14</v>
      </c>
      <c r="C42" s="2122">
        <f>-(+'Exh D General Fund'!C38+'Exh D General Fund'!C39+'Exh D General Fund'!C40+'Exh D General Fund'!C41+'Exh D General Fund'!C42+'Exh D Special Revenue'!C34+'Exh D Debt Service'!C32+'Exh D Capital Projects'!C32)</f>
        <v>-42624</v>
      </c>
      <c r="D42" s="115"/>
      <c r="E42" s="2122">
        <f>-(+'Exh D General Fund'!E38+'Exh D General Fund'!E39+'Exh D General Fund'!E40+'Exh D General Fund'!E41+'Exh D General Fund'!E42+'Exh D Special Revenue'!E34+'Exh D Debt Service'!E32+'Exh D Capital Projects'!E32)</f>
        <v>-51048</v>
      </c>
      <c r="F42" s="63"/>
      <c r="G42" s="278">
        <f>-(+'Exh D General Fund'!G38+'Exh D General Fund'!G39+'Exh D General Fund'!G40+'Exh D General Fund'!G41+'Exh D General Fund'!G42+'Exh D Special Revenue'!K34+'Exh D Debt Service'!G32+'Exh D Capital Projects'!K32)</f>
        <v>-50277.5</v>
      </c>
      <c r="H42" s="63"/>
      <c r="I42" s="917">
        <f>-ROUND(SUM(G42)-SUM(C42),1)</f>
        <v>7653.5</v>
      </c>
      <c r="J42" s="56"/>
      <c r="K42" s="917">
        <f>-ROUND(SUM(G42)-SUM(E42),1)</f>
        <v>-770.5</v>
      </c>
      <c r="M42" s="1162"/>
    </row>
    <row r="43" spans="1:14" ht="15.6">
      <c r="A43" s="170" t="s">
        <v>98</v>
      </c>
      <c r="B43" s="155" t="s">
        <v>14</v>
      </c>
      <c r="C43" s="117">
        <f>ROUND(+SUM(C40)+C41+C42,1)</f>
        <v>-100</v>
      </c>
      <c r="D43" s="115"/>
      <c r="E43" s="117">
        <f>ROUND(+SUM(E40)+E41+E42,1)</f>
        <v>-86</v>
      </c>
      <c r="F43" s="63"/>
      <c r="G43" s="280">
        <f>ROUND(+SUM(G40)+G41+G42,1)</f>
        <v>-86.7</v>
      </c>
      <c r="H43" s="63"/>
      <c r="I43" s="280">
        <f>ROUND(SUM(I40+I41-I42),1)</f>
        <v>13.3</v>
      </c>
      <c r="J43" s="169"/>
      <c r="K43" s="1558">
        <f>ROUND(SUM(K40+K41-K42),1)</f>
        <v>-0.7</v>
      </c>
      <c r="M43" s="1162"/>
    </row>
    <row r="44" spans="1:14" ht="15.6">
      <c r="A44" s="170"/>
      <c r="B44" s="155"/>
      <c r="C44" s="116"/>
      <c r="D44" s="115"/>
      <c r="E44" s="116"/>
      <c r="F44" s="63"/>
      <c r="G44" s="74"/>
      <c r="H44" s="63"/>
      <c r="I44" s="74"/>
      <c r="J44" s="157"/>
      <c r="K44" s="75"/>
      <c r="M44" s="1162"/>
    </row>
    <row r="45" spans="1:14" ht="15.6">
      <c r="A45" s="26" t="s">
        <v>99</v>
      </c>
      <c r="B45" s="155"/>
      <c r="C45" s="115"/>
      <c r="D45" s="115"/>
      <c r="E45" s="115"/>
      <c r="F45" s="63"/>
      <c r="G45" s="63"/>
      <c r="H45" s="63"/>
      <c r="I45" s="63"/>
      <c r="J45" s="162"/>
      <c r="K45" s="53"/>
      <c r="M45" s="1162"/>
    </row>
    <row r="46" spans="1:14" ht="15" customHeight="1">
      <c r="A46" s="26" t="s">
        <v>100</v>
      </c>
      <c r="B46" s="155"/>
      <c r="C46" s="115"/>
      <c r="D46" s="115"/>
      <c r="E46" s="115"/>
      <c r="F46" s="63"/>
      <c r="G46" s="63"/>
      <c r="H46" s="63"/>
      <c r="I46" s="63"/>
      <c r="J46" s="162"/>
      <c r="K46" s="53"/>
      <c r="M46" s="1162"/>
    </row>
    <row r="47" spans="1:14" ht="15.6">
      <c r="A47" s="170" t="s">
        <v>101</v>
      </c>
      <c r="B47" s="171" t="s">
        <v>14</v>
      </c>
      <c r="C47" s="112">
        <f>ROUND(SUM(C26)-SUM(C34)+C43,1)</f>
        <v>17281</v>
      </c>
      <c r="D47" s="1093"/>
      <c r="E47" s="112">
        <f>ROUND(SUM(E26)-SUM(E34)+E43,1)</f>
        <v>45202</v>
      </c>
      <c r="F47" s="81"/>
      <c r="G47" s="73">
        <f>ROUND(SUM(G26)-SUM(G34)+G43,1)</f>
        <v>44531.4</v>
      </c>
      <c r="H47" s="81"/>
      <c r="I47" s="73">
        <f>ROUND(SUM(I26)-SUM(I34)+I43,1)</f>
        <v>27250.400000000001</v>
      </c>
      <c r="J47" s="163"/>
      <c r="K47" s="1512">
        <f>ROUND(SUM(K26)-SUM(K34)+K43,1)</f>
        <v>-670.6</v>
      </c>
      <c r="M47" s="1162"/>
    </row>
    <row r="48" spans="1:14" ht="15.6">
      <c r="A48" s="31"/>
      <c r="B48" s="173"/>
      <c r="C48" s="1772"/>
      <c r="D48" s="2123"/>
      <c r="E48" s="1772"/>
      <c r="F48" s="670"/>
      <c r="G48" s="337"/>
      <c r="H48" s="670"/>
      <c r="I48" s="337"/>
      <c r="J48" s="175"/>
      <c r="K48" s="1512" t="s">
        <v>14</v>
      </c>
      <c r="M48" s="1162"/>
    </row>
    <row r="49" spans="1:13" ht="15.6">
      <c r="A49" s="170" t="s">
        <v>102</v>
      </c>
      <c r="B49" s="176" t="s">
        <v>14</v>
      </c>
      <c r="C49" s="112">
        <f>'Exh D General Fund'!C49+'Exh D Special Revenue'!C41+'Exh D Debt Service'!C39+'Exh D Capital Projects'!C39</f>
        <v>18751</v>
      </c>
      <c r="D49" s="2123"/>
      <c r="E49" s="112">
        <v>18751</v>
      </c>
      <c r="F49" s="670"/>
      <c r="G49" s="73">
        <f>'Exh D General Fund'!G49+'Exh D Special Revenue'!G41+'Exh D Debt Service'!G39+'Exh D Capital Projects'!G39</f>
        <v>18751.099999999999</v>
      </c>
      <c r="H49" s="670"/>
      <c r="I49" s="3011">
        <f t="shared" ref="I49" si="3">ROUND(SUM(G49)-SUM(C49),1)</f>
        <v>0.1</v>
      </c>
      <c r="J49" s="163"/>
      <c r="K49" s="1512">
        <f>G49-E49</f>
        <v>9.9999999998544808E-2</v>
      </c>
      <c r="M49" s="1162"/>
    </row>
    <row r="50" spans="1:13" ht="16.2" thickBot="1">
      <c r="A50" s="258" t="s">
        <v>1583</v>
      </c>
      <c r="B50" s="177" t="s">
        <v>14</v>
      </c>
      <c r="C50" s="1470">
        <f>ROUND(SUM(C47:C49),1)</f>
        <v>36032</v>
      </c>
      <c r="D50" s="2038"/>
      <c r="E50" s="1470">
        <f>ROUND(SUM(E47:E49),1)</f>
        <v>63953</v>
      </c>
      <c r="F50" s="178"/>
      <c r="G50" s="95">
        <f>ROUND(SUM(G47:G49),1)</f>
        <v>63282.5</v>
      </c>
      <c r="H50" s="178"/>
      <c r="I50" s="95">
        <f>ROUND(SUM(I47:I49),1)</f>
        <v>27250.5</v>
      </c>
      <c r="J50" s="179"/>
      <c r="K50" s="95">
        <f>ROUND(SUM(K47:K49),1)</f>
        <v>-670.5</v>
      </c>
      <c r="M50" s="1162"/>
    </row>
    <row r="51" spans="1:13" ht="15.6" thickTop="1">
      <c r="A51" s="31"/>
      <c r="B51" s="173"/>
      <c r="C51" s="2124"/>
      <c r="D51" s="2125"/>
      <c r="E51" s="2124"/>
      <c r="F51" s="174"/>
      <c r="G51" s="174"/>
      <c r="H51" s="174"/>
      <c r="I51" s="174"/>
      <c r="J51" s="174"/>
      <c r="K51" s="173"/>
      <c r="M51" s="1162"/>
    </row>
    <row r="52" spans="1:13">
      <c r="A52" s="924" t="s">
        <v>1474</v>
      </c>
      <c r="G52" s="1162"/>
      <c r="K52" s="1185"/>
      <c r="M52" s="1162"/>
    </row>
    <row r="53" spans="1:13">
      <c r="A53" s="924" t="s">
        <v>1588</v>
      </c>
      <c r="G53" s="1162"/>
    </row>
    <row r="54" spans="1:13">
      <c r="A54" s="181"/>
      <c r="G54" s="352"/>
    </row>
    <row r="55" spans="1:13" ht="15.6">
      <c r="A55" s="3889"/>
      <c r="G55" s="1162"/>
    </row>
    <row r="56" spans="1:13">
      <c r="A56" s="180"/>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81640625" defaultRowHeight="15"/>
  <cols>
    <col min="1" max="1" width="45.81640625" style="98" customWidth="1"/>
    <col min="2" max="2" width="2.453125" style="98" customWidth="1"/>
    <col min="3" max="3" width="15.08984375" style="98" customWidth="1"/>
    <col min="4" max="4" width="1.81640625" style="98" customWidth="1"/>
    <col min="5" max="5" width="15.08984375" style="98" customWidth="1"/>
    <col min="6" max="6" width="2.81640625" style="98" customWidth="1"/>
    <col min="7" max="7" width="15.08984375" style="98" customWidth="1"/>
    <col min="8" max="8" width="5.08984375" style="98" customWidth="1"/>
    <col min="9" max="9" width="15.08984375" style="98" customWidth="1"/>
    <col min="10" max="10" width="2.08984375" style="98" customWidth="1"/>
    <col min="11" max="11" width="15.08984375" style="98" customWidth="1"/>
    <col min="12" max="16384" width="8.81640625" style="98"/>
  </cols>
  <sheetData>
    <row r="1" spans="1:11">
      <c r="A1" s="911" t="s">
        <v>881</v>
      </c>
    </row>
    <row r="2" spans="1:11">
      <c r="A2" s="814"/>
    </row>
    <row r="3" spans="1:11" s="3936" customFormat="1" ht="18" customHeight="1">
      <c r="A3" s="138" t="s">
        <v>0</v>
      </c>
      <c r="B3" s="139"/>
      <c r="C3" s="139"/>
      <c r="D3" s="140"/>
      <c r="E3" s="139"/>
      <c r="F3" s="140"/>
      <c r="G3" s="140"/>
      <c r="H3" s="140"/>
      <c r="I3" s="140"/>
      <c r="J3" s="140"/>
      <c r="K3" s="141" t="s">
        <v>82</v>
      </c>
    </row>
    <row r="4" spans="1:11" s="3936" customFormat="1" ht="18" customHeight="1">
      <c r="A4" s="138" t="s">
        <v>81</v>
      </c>
      <c r="B4" s="139"/>
      <c r="C4" s="139"/>
      <c r="D4" s="140"/>
      <c r="E4" s="139"/>
      <c r="F4" s="140"/>
      <c r="G4" s="140"/>
      <c r="H4" s="140"/>
      <c r="I4" s="141"/>
      <c r="J4" s="142"/>
      <c r="K4" s="811"/>
    </row>
    <row r="5" spans="1:11" s="3936" customFormat="1" ht="18" customHeight="1">
      <c r="A5" s="3966" t="str">
        <f>'Exh D-Governmental  '!A5:E5</f>
        <v>FISCAL YEAR 2021-2022</v>
      </c>
      <c r="B5" s="3967"/>
      <c r="C5" s="3967"/>
      <c r="D5" s="3967"/>
      <c r="E5" s="3967"/>
      <c r="F5" s="140"/>
      <c r="G5" s="143"/>
      <c r="H5" s="140"/>
      <c r="I5" s="811"/>
      <c r="J5" s="140"/>
    </row>
    <row r="6" spans="1:11" s="3936" customFormat="1" ht="18" customHeight="1">
      <c r="A6" s="1457" t="str">
        <f>'Exh D-Governmental  '!A6</f>
        <v xml:space="preserve">FOR TEN MONTHS ENDED JANUARY 31, 2022    </v>
      </c>
      <c r="B6" s="144"/>
      <c r="C6" s="145"/>
      <c r="D6" s="140"/>
      <c r="E6" s="145"/>
      <c r="F6" s="140"/>
      <c r="G6" s="140"/>
      <c r="H6" s="140"/>
      <c r="I6" s="140"/>
      <c r="J6" s="140"/>
      <c r="K6" s="140"/>
    </row>
    <row r="7" spans="1:11" s="3936" customFormat="1" ht="18" customHeight="1">
      <c r="A7" s="188" t="s">
        <v>1264</v>
      </c>
      <c r="B7" s="145"/>
      <c r="C7" s="145"/>
      <c r="D7" s="140"/>
      <c r="E7" s="145"/>
      <c r="F7" s="140"/>
      <c r="G7" s="140"/>
      <c r="H7" s="140"/>
      <c r="I7" s="140"/>
      <c r="J7" s="140"/>
      <c r="K7" s="140"/>
    </row>
    <row r="8" spans="1:11" ht="17.399999999999999">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ht="15.6">
      <c r="A11" s="679"/>
      <c r="B11" s="148"/>
      <c r="C11" s="3965" t="s">
        <v>1514</v>
      </c>
      <c r="D11" s="3965"/>
      <c r="E11" s="3965"/>
      <c r="F11" s="3965"/>
      <c r="G11" s="3965"/>
      <c r="H11" s="3965"/>
      <c r="I11" s="3965"/>
      <c r="J11" s="1165"/>
      <c r="K11" s="1161"/>
    </row>
    <row r="12" spans="1:11" ht="15.6">
      <c r="A12" s="679"/>
      <c r="B12" s="148"/>
      <c r="C12" s="149"/>
      <c r="D12" s="149"/>
      <c r="E12" s="149"/>
      <c r="F12" s="149"/>
      <c r="G12" s="149"/>
      <c r="H12" s="149"/>
      <c r="I12" s="150" t="s">
        <v>83</v>
      </c>
      <c r="J12" s="150"/>
      <c r="K12" s="150" t="s">
        <v>83</v>
      </c>
    </row>
    <row r="13" spans="1:11" ht="15.6">
      <c r="A13" s="679"/>
      <c r="B13" s="148"/>
      <c r="C13" s="149"/>
      <c r="D13" s="149"/>
      <c r="E13" s="149"/>
      <c r="F13" s="149"/>
      <c r="G13" s="149"/>
      <c r="H13" s="149"/>
      <c r="I13" s="150" t="s">
        <v>795</v>
      </c>
      <c r="J13" s="150"/>
      <c r="K13" s="150" t="s">
        <v>795</v>
      </c>
    </row>
    <row r="14" spans="1:11" ht="15.6">
      <c r="A14" s="679"/>
      <c r="B14" s="148"/>
      <c r="C14" s="151" t="s">
        <v>988</v>
      </c>
      <c r="D14" s="149"/>
      <c r="E14" s="150" t="s">
        <v>989</v>
      </c>
      <c r="F14" s="149"/>
      <c r="G14" s="149"/>
      <c r="H14" s="149"/>
      <c r="I14" s="150" t="s">
        <v>84</v>
      </c>
      <c r="J14" s="150"/>
      <c r="K14" s="150" t="s">
        <v>84</v>
      </c>
    </row>
    <row r="15" spans="1:11" ht="15.6">
      <c r="A15" s="679"/>
      <c r="B15" s="148"/>
      <c r="C15" s="196" t="s">
        <v>1024</v>
      </c>
      <c r="D15" s="195"/>
      <c r="E15" s="196" t="s">
        <v>1024</v>
      </c>
      <c r="F15" s="149"/>
      <c r="G15" s="149"/>
      <c r="H15" s="149"/>
      <c r="I15" s="150" t="s">
        <v>988</v>
      </c>
      <c r="J15" s="150"/>
      <c r="K15" s="150" t="s">
        <v>989</v>
      </c>
    </row>
    <row r="16" spans="1:11" ht="15.6">
      <c r="A16" s="679"/>
      <c r="B16" s="148"/>
      <c r="C16" s="196" t="s">
        <v>1025</v>
      </c>
      <c r="D16" s="195"/>
      <c r="E16" s="150" t="s">
        <v>1511</v>
      </c>
      <c r="F16" s="149"/>
      <c r="G16" s="151" t="s">
        <v>83</v>
      </c>
      <c r="H16" s="149"/>
      <c r="I16" s="150" t="s">
        <v>85</v>
      </c>
      <c r="J16" s="150"/>
      <c r="K16" s="150" t="s">
        <v>85</v>
      </c>
    </row>
    <row r="17" spans="1:12">
      <c r="A17" s="152"/>
      <c r="B17" s="153"/>
      <c r="C17" s="1620"/>
      <c r="D17" s="145"/>
      <c r="E17" s="1620"/>
      <c r="F17" s="140"/>
      <c r="G17" s="154"/>
      <c r="H17" s="140"/>
      <c r="I17" s="154"/>
      <c r="J17" s="153"/>
      <c r="K17" s="154"/>
    </row>
    <row r="18" spans="1:12" ht="15.6">
      <c r="A18" s="26" t="s">
        <v>13</v>
      </c>
      <c r="B18" s="912"/>
      <c r="C18" s="1621"/>
      <c r="D18" s="1621"/>
      <c r="E18" s="1621"/>
      <c r="F18" s="648"/>
      <c r="G18" s="648"/>
      <c r="H18" s="648"/>
      <c r="I18" s="912"/>
      <c r="J18" s="648"/>
      <c r="K18" s="912"/>
    </row>
    <row r="19" spans="1:12" ht="15" customHeight="1">
      <c r="A19" s="809" t="s">
        <v>86</v>
      </c>
      <c r="B19" s="913" t="s">
        <v>14</v>
      </c>
      <c r="C19" s="2126"/>
      <c r="D19" s="1915"/>
      <c r="E19" s="2126"/>
      <c r="F19" s="913"/>
      <c r="G19" s="914"/>
      <c r="H19" s="913"/>
      <c r="I19" s="1184"/>
      <c r="J19" s="914"/>
      <c r="K19" s="1184"/>
    </row>
    <row r="20" spans="1:12">
      <c r="A20" s="809" t="s">
        <v>87</v>
      </c>
      <c r="B20" s="913" t="s">
        <v>14</v>
      </c>
      <c r="C20" s="882">
        <f>'Exh D General Fund'!C20+'Exh D Special Revenue State Fed'!C20+'Exh D Debt Service'!C20</f>
        <v>51896</v>
      </c>
      <c r="D20" s="881"/>
      <c r="E20" s="882">
        <f>'Exh D General Fund'!E20+'Exh D Special Revenue State Fed'!E20+'Exh D Debt Service'!E20</f>
        <v>60620</v>
      </c>
      <c r="F20" s="651"/>
      <c r="G20" s="649">
        <f>+'Exh A Supp'!T15</f>
        <v>59472</v>
      </c>
      <c r="H20" s="651"/>
      <c r="I20" s="959">
        <f>G20-C20</f>
        <v>7576</v>
      </c>
      <c r="J20" s="915"/>
      <c r="K20" s="959">
        <f>G20-E20</f>
        <v>-1148</v>
      </c>
    </row>
    <row r="21" spans="1:12">
      <c r="A21" s="809" t="s">
        <v>88</v>
      </c>
      <c r="B21" s="912" t="s">
        <v>14</v>
      </c>
      <c r="C21" s="883">
        <f>'Exh D General Fund'!C21+'Exh D Special Revenue State Fed'!C21+'Exh D Debt Service'!C21</f>
        <v>14797</v>
      </c>
      <c r="D21" s="883"/>
      <c r="E21" s="883">
        <f>'Exh D General Fund'!E21+'Exh D Special Revenue State Fed'!E21+'Exh D Debt Service'!E21</f>
        <v>15922</v>
      </c>
      <c r="F21" s="634"/>
      <c r="G21" s="634">
        <f>+'Exh A Supp'!T16</f>
        <v>15948.3</v>
      </c>
      <c r="H21" s="634"/>
      <c r="I21" s="3825">
        <f t="shared" ref="I21:I25" si="0">ROUND(SUM(G21)-SUM(C21),1)</f>
        <v>1151.3</v>
      </c>
      <c r="J21" s="915"/>
      <c r="K21" s="931">
        <f t="shared" ref="K21:K25" si="1">G21-E21</f>
        <v>26.299999999999272</v>
      </c>
    </row>
    <row r="22" spans="1:12" ht="15" customHeight="1">
      <c r="A22" s="809" t="s">
        <v>89</v>
      </c>
      <c r="B22" s="913" t="s">
        <v>14</v>
      </c>
      <c r="C22" s="883">
        <f>'Exh D General Fund'!C22+'Exh D Special Revenue State Fed'!C22+'Exh D Debt Service'!C22</f>
        <v>6317</v>
      </c>
      <c r="D22" s="673"/>
      <c r="E22" s="883">
        <f>'Exh D General Fund'!E22+'Exh D Special Revenue State Fed'!E22+'Exh D Debt Service'!E22</f>
        <v>18886</v>
      </c>
      <c r="F22" s="671"/>
      <c r="G22" s="634">
        <f>+'Exh A Supp'!T17</f>
        <v>19006.8</v>
      </c>
      <c r="H22" s="671"/>
      <c r="I22" s="3825">
        <f t="shared" si="0"/>
        <v>12689.8</v>
      </c>
      <c r="J22" s="915"/>
      <c r="K22" s="931">
        <f t="shared" si="1"/>
        <v>120.79999999999927</v>
      </c>
    </row>
    <row r="23" spans="1:12" ht="14.25" customHeight="1">
      <c r="A23" s="809" t="s">
        <v>90</v>
      </c>
      <c r="B23" s="912" t="s">
        <v>14</v>
      </c>
      <c r="C23" s="883">
        <f>'Exh D General Fund'!C23+'Exh D Debt Service'!C23</f>
        <v>1846</v>
      </c>
      <c r="D23" s="883"/>
      <c r="E23" s="883">
        <f>'Exh D General Fund'!E23+'Exh D Debt Service'!E23</f>
        <v>2456</v>
      </c>
      <c r="F23" s="634"/>
      <c r="G23" s="634">
        <f>+'Exh A Supp'!T18</f>
        <v>2475.6</v>
      </c>
      <c r="H23" s="634"/>
      <c r="I23" s="3825">
        <f t="shared" si="0"/>
        <v>629.6</v>
      </c>
      <c r="J23" s="915"/>
      <c r="K23" s="931">
        <f t="shared" si="1"/>
        <v>19.599999999999909</v>
      </c>
    </row>
    <row r="24" spans="1:12">
      <c r="A24" s="809" t="s">
        <v>19</v>
      </c>
      <c r="B24" s="912" t="s">
        <v>14</v>
      </c>
      <c r="C24" s="883">
        <f>'Exh D General Fund'!C24+'Exh D Special Revenue State Fed'!C23+'Exh D Debt Service'!C24</f>
        <v>15249</v>
      </c>
      <c r="D24" s="883"/>
      <c r="E24" s="883">
        <f>'Exh D General Fund'!E24+'Exh D Special Revenue State Fed'!E23+'Exh D Debt Service'!E24</f>
        <v>18222</v>
      </c>
      <c r="F24" s="634"/>
      <c r="G24" s="634">
        <f>+'Exh A Supp'!T19</f>
        <v>17645.5</v>
      </c>
      <c r="H24" s="634"/>
      <c r="I24" s="3825">
        <f t="shared" si="0"/>
        <v>2396.5</v>
      </c>
      <c r="J24" s="804"/>
      <c r="K24" s="931">
        <f t="shared" si="1"/>
        <v>-576.5</v>
      </c>
    </row>
    <row r="25" spans="1:12" ht="15" customHeight="1">
      <c r="A25" s="809" t="s">
        <v>20</v>
      </c>
      <c r="B25" s="912" t="s">
        <v>14</v>
      </c>
      <c r="C25" s="674">
        <f>'Exh D General Fund'!C25+'Exh D Special Revenue State Fed'!C24+'Exh D Debt Service'!C25</f>
        <v>322</v>
      </c>
      <c r="D25" s="883"/>
      <c r="E25" s="674">
        <f>'Exh D General Fund'!E25+'Exh D Special Revenue State Fed'!E24+'Exh D Debt Service'!E25</f>
        <v>160</v>
      </c>
      <c r="F25" s="634"/>
      <c r="G25" s="634">
        <f>+'Exh A Supp'!T20</f>
        <v>62.3</v>
      </c>
      <c r="H25" s="634"/>
      <c r="I25" s="3825">
        <f t="shared" si="0"/>
        <v>-259.7</v>
      </c>
      <c r="J25" s="804"/>
      <c r="K25" s="931">
        <f t="shared" si="1"/>
        <v>-97.7</v>
      </c>
    </row>
    <row r="26" spans="1:12" ht="15.6">
      <c r="A26" s="170" t="s">
        <v>91</v>
      </c>
      <c r="B26" s="148" t="s">
        <v>14</v>
      </c>
      <c r="C26" s="1468">
        <f>ROUND(SUM(C20:C25),1)</f>
        <v>90427</v>
      </c>
      <c r="D26" s="109"/>
      <c r="E26" s="1468">
        <f>ROUND(SUM(E20:E25),1)</f>
        <v>116266</v>
      </c>
      <c r="F26" s="910"/>
      <c r="G26" s="212">
        <f>ROUND(SUM(G20:G25),1)</f>
        <v>114610.5</v>
      </c>
      <c r="H26" s="910"/>
      <c r="I26" s="212">
        <f>ROUND(SUM(I20:I25),1)</f>
        <v>24183.5</v>
      </c>
      <c r="J26" s="163"/>
      <c r="K26" s="212">
        <f>ROUND(SUM(K20:K25),1)</f>
        <v>-1655.5</v>
      </c>
      <c r="L26" s="352"/>
    </row>
    <row r="27" spans="1:12">
      <c r="A27" s="679"/>
      <c r="B27" s="912" t="s">
        <v>14</v>
      </c>
      <c r="C27" s="1030"/>
      <c r="D27" s="883"/>
      <c r="E27" s="1030"/>
      <c r="F27" s="634"/>
      <c r="G27" s="677"/>
      <c r="H27" s="634"/>
      <c r="I27" s="677"/>
      <c r="J27" s="658"/>
      <c r="K27" s="677"/>
    </row>
    <row r="28" spans="1:12" ht="15.6">
      <c r="A28" s="26" t="s">
        <v>22</v>
      </c>
      <c r="B28" s="912" t="s">
        <v>14</v>
      </c>
      <c r="C28" s="883"/>
      <c r="D28" s="883"/>
      <c r="E28" s="883"/>
      <c r="F28" s="634"/>
      <c r="G28" s="634"/>
      <c r="H28" s="634"/>
      <c r="I28" s="931"/>
      <c r="J28" s="804"/>
      <c r="K28" s="931"/>
    </row>
    <row r="29" spans="1:12">
      <c r="A29" s="809" t="s">
        <v>92</v>
      </c>
      <c r="B29" s="912" t="s">
        <v>14</v>
      </c>
      <c r="C29" s="674">
        <f>'Exh D General Fund'!C34+'Exh D Special Revenue State Fed'!C29</f>
        <v>59105</v>
      </c>
      <c r="D29" s="883"/>
      <c r="E29" s="674">
        <f>'Exh D General Fund'!E34+'Exh D Special Revenue State Fed'!E29</f>
        <v>58212</v>
      </c>
      <c r="F29" s="634"/>
      <c r="G29" s="675">
        <f>+'Exh A Supp'!T35</f>
        <v>57225.1</v>
      </c>
      <c r="H29" s="634"/>
      <c r="I29" s="3825">
        <f t="shared" ref="I29:I33" si="2">ROUND(SUM(G29)-SUM(C29),1)</f>
        <v>-1879.9</v>
      </c>
      <c r="J29" s="804"/>
      <c r="K29" s="931">
        <f>G29-E29</f>
        <v>-986.90000000000146</v>
      </c>
      <c r="L29" s="352"/>
    </row>
    <row r="30" spans="1:12">
      <c r="A30" s="809" t="s">
        <v>93</v>
      </c>
      <c r="B30" s="912" t="s">
        <v>14</v>
      </c>
      <c r="C30" s="673">
        <f>'Exh D General Fund'!C35+'Exh D Special Revenue State Fed'!C30+'Exh D Debt Service'!C30</f>
        <v>15909</v>
      </c>
      <c r="D30" s="883"/>
      <c r="E30" s="673">
        <f>'Exh D General Fund'!E35+'Exh D Special Revenue State Fed'!E30+'Exh D Debt Service'!E30</f>
        <v>15584</v>
      </c>
      <c r="F30" s="634"/>
      <c r="G30" s="671">
        <f>+'Exh A Supp'!T37+'Exh A Supp'!T38</f>
        <v>15383.2</v>
      </c>
      <c r="H30" s="634"/>
      <c r="I30" s="3825">
        <f t="shared" si="2"/>
        <v>-525.79999999999995</v>
      </c>
      <c r="J30" s="804"/>
      <c r="K30" s="931">
        <f>G30-E30</f>
        <v>-200.79999999999927</v>
      </c>
      <c r="L30" s="352"/>
    </row>
    <row r="31" spans="1:12">
      <c r="A31" s="809" t="s">
        <v>68</v>
      </c>
      <c r="B31" s="912" t="s">
        <v>14</v>
      </c>
      <c r="C31" s="674">
        <f>'Exh D General Fund'!C36+'Exh D Special Revenue State Fed'!C31</f>
        <v>8062</v>
      </c>
      <c r="D31" s="883"/>
      <c r="E31" s="674">
        <f>'Exh D General Fund'!E36+'Exh D Special Revenue State Fed'!E31</f>
        <v>7566</v>
      </c>
      <c r="F31" s="634"/>
      <c r="G31" s="675">
        <f>+'Exh A Supp'!T39</f>
        <v>7545.3</v>
      </c>
      <c r="H31" s="634"/>
      <c r="I31" s="3825">
        <f t="shared" si="2"/>
        <v>-516.70000000000005</v>
      </c>
      <c r="J31" s="804"/>
      <c r="K31" s="931">
        <f>G31-E31</f>
        <v>-20.699999999999818</v>
      </c>
      <c r="L31" s="352"/>
    </row>
    <row r="32" spans="1:12">
      <c r="A32" s="809" t="s">
        <v>94</v>
      </c>
      <c r="B32" s="912" t="s">
        <v>14</v>
      </c>
      <c r="C32" s="673">
        <f>'Exh D Debt Service'!C31</f>
        <v>1549</v>
      </c>
      <c r="D32" s="883"/>
      <c r="E32" s="673">
        <f>'Exh D Debt Service'!E31</f>
        <v>1451</v>
      </c>
      <c r="F32" s="634"/>
      <c r="G32" s="675">
        <f>+'Exh A Supp'!T41</f>
        <v>1450.2</v>
      </c>
      <c r="H32" s="634"/>
      <c r="I32" s="3825">
        <f t="shared" si="2"/>
        <v>-98.8</v>
      </c>
      <c r="J32" s="804"/>
      <c r="K32" s="931">
        <f>G32-E32</f>
        <v>-0.79999999999995453</v>
      </c>
      <c r="L32" s="352"/>
    </row>
    <row r="33" spans="1:12">
      <c r="A33" s="809" t="s">
        <v>41</v>
      </c>
      <c r="B33" s="912"/>
      <c r="C33" s="673">
        <f>'Exh D Special Revenue State Fed'!C33</f>
        <v>0</v>
      </c>
      <c r="D33" s="883"/>
      <c r="E33" s="673">
        <f>'Exh D Special Revenue State Fed'!E33</f>
        <v>0</v>
      </c>
      <c r="F33" s="1511"/>
      <c r="G33" s="675">
        <f>'Exh D Special Revenue State Fed'!G33</f>
        <v>0</v>
      </c>
      <c r="H33" s="1511"/>
      <c r="I33" s="3825">
        <f t="shared" si="2"/>
        <v>0</v>
      </c>
      <c r="J33" s="804"/>
      <c r="K33" s="931">
        <f>G33-E33</f>
        <v>0</v>
      </c>
      <c r="L33" s="352"/>
    </row>
    <row r="34" spans="1:12" ht="15.75" customHeight="1">
      <c r="A34" s="170" t="s">
        <v>95</v>
      </c>
      <c r="B34" s="148" t="s">
        <v>14</v>
      </c>
      <c r="C34" s="1084">
        <f>ROUND(SUM(C29:C33),1)</f>
        <v>84625</v>
      </c>
      <c r="D34" s="109"/>
      <c r="E34" s="1084">
        <f>ROUND(SUM(E29:E33),1)</f>
        <v>82813</v>
      </c>
      <c r="F34" s="910"/>
      <c r="G34" s="291">
        <f>ROUND(SUM(G29:G33),1)</f>
        <v>81603.8</v>
      </c>
      <c r="H34" s="910"/>
      <c r="I34" s="291">
        <f>ROUND(SUM(I29:I33),1)</f>
        <v>-3021.2</v>
      </c>
      <c r="J34" s="163"/>
      <c r="K34" s="291">
        <f>ROUND(SUM(K29:K33),1)</f>
        <v>-1209.2</v>
      </c>
      <c r="L34" s="352"/>
    </row>
    <row r="35" spans="1:12">
      <c r="A35" s="679"/>
      <c r="B35" s="912"/>
      <c r="C35" s="883"/>
      <c r="D35" s="883"/>
      <c r="E35" s="883"/>
      <c r="F35" s="634"/>
      <c r="G35" s="634"/>
      <c r="H35" s="634"/>
      <c r="I35" s="931"/>
      <c r="J35" s="804"/>
      <c r="K35" s="931"/>
      <c r="L35" s="352"/>
    </row>
    <row r="36" spans="1:12" ht="15.6">
      <c r="A36" s="170" t="s">
        <v>43</v>
      </c>
      <c r="B36" s="912"/>
      <c r="C36" s="883"/>
      <c r="D36" s="883"/>
      <c r="E36" s="883"/>
      <c r="F36" s="634"/>
      <c r="G36" s="634"/>
      <c r="H36" s="634"/>
      <c r="I36" s="931"/>
      <c r="J36" s="804"/>
      <c r="K36" s="931"/>
      <c r="L36" s="352"/>
    </row>
    <row r="37" spans="1:12" ht="15.6">
      <c r="A37" s="170" t="s">
        <v>44</v>
      </c>
      <c r="B37" s="912" t="s">
        <v>14</v>
      </c>
      <c r="C37" s="1095">
        <f>ROUND(SUM(+C26-C34),1)</f>
        <v>5802</v>
      </c>
      <c r="D37" s="883"/>
      <c r="E37" s="1095">
        <f>ROUND(SUM(+E26-E34),1)</f>
        <v>33453</v>
      </c>
      <c r="F37" s="634"/>
      <c r="G37" s="817">
        <f>ROUND(SUM(+G26-G34),1)</f>
        <v>33006.699999999997</v>
      </c>
      <c r="H37" s="634"/>
      <c r="I37" s="817">
        <f>ROUND(SUM(+I26-I34),1)</f>
        <v>27204.7</v>
      </c>
      <c r="J37" s="658"/>
      <c r="K37" s="817">
        <f>ROUND(SUM(+K26-K34),1)</f>
        <v>-446.3</v>
      </c>
      <c r="L37" s="352"/>
    </row>
    <row r="38" spans="1:12">
      <c r="A38" s="679"/>
      <c r="B38" s="912"/>
      <c r="C38" s="883"/>
      <c r="D38" s="883"/>
      <c r="E38" s="883"/>
      <c r="F38" s="634"/>
      <c r="G38" s="634"/>
      <c r="H38" s="634"/>
      <c r="I38" s="931"/>
      <c r="J38" s="804"/>
      <c r="K38" s="931"/>
      <c r="L38" s="352"/>
    </row>
    <row r="39" spans="1:12" ht="15.6">
      <c r="A39" s="170" t="s">
        <v>45</v>
      </c>
      <c r="B39" s="912"/>
      <c r="C39" s="883"/>
      <c r="D39" s="883"/>
      <c r="E39" s="883"/>
      <c r="F39" s="634"/>
      <c r="G39" s="634"/>
      <c r="H39" s="634"/>
      <c r="I39" s="931"/>
      <c r="J39" s="804"/>
      <c r="K39" s="931"/>
      <c r="L39" s="352"/>
    </row>
    <row r="40" spans="1:12">
      <c r="A40" s="809" t="s">
        <v>46</v>
      </c>
      <c r="B40" s="912" t="s">
        <v>14</v>
      </c>
      <c r="C40" s="673">
        <f>'Exh D General Fund'!C27+'Exh D General Fund'!C28+'Exh D General Fund'!C29+'Exh D General Fund'!C30+'Exh D Special Revenue State Fed'!C25+'Exh D Debt Service'!C26</f>
        <v>39113</v>
      </c>
      <c r="D40" s="883"/>
      <c r="E40" s="673">
        <f>'Exh D General Fund'!E27+'Exh D General Fund'!E28+'Exh D General Fund'!E29+'Exh D General Fund'!E30+'Exh D Special Revenue State Fed'!E25+'Exh D Debt Service'!E26</f>
        <v>46475</v>
      </c>
      <c r="F40" s="634"/>
      <c r="G40" s="671">
        <f>+'Exh A Supp'!T49</f>
        <v>45919.199999999997</v>
      </c>
      <c r="H40" s="1349" t="s">
        <v>1516</v>
      </c>
      <c r="I40" s="3825">
        <f>ROUND(SUM(G40)-SUM(C40),1)</f>
        <v>6806.2</v>
      </c>
      <c r="J40" s="804"/>
      <c r="K40" s="931">
        <f>G40-E40</f>
        <v>-555.80000000000291</v>
      </c>
      <c r="L40" s="352"/>
    </row>
    <row r="41" spans="1:12">
      <c r="A41" s="809" t="s">
        <v>97</v>
      </c>
      <c r="B41" s="912" t="s">
        <v>14</v>
      </c>
      <c r="C41" s="1467">
        <f>-('Exh D General Fund'!C38+'Exh D General Fund'!C39+'Exh D General Fund'!C40+'Exh D General Fund'!C41+'Exh D General Fund'!C42+'Exh D Special Revenue State Fed'!C34+'Exh D Debt Service'!C32)</f>
        <v>-40516</v>
      </c>
      <c r="D41" s="883"/>
      <c r="E41" s="1467">
        <f>-('Exh D General Fund'!E38+'Exh D General Fund'!E39+'Exh D General Fund'!E40+'Exh D General Fund'!E41+'Exh D General Fund'!E42+'Exh D Special Revenue State Fed'!E34+'Exh D Debt Service'!E32)</f>
        <v>-49025</v>
      </c>
      <c r="F41" s="634"/>
      <c r="G41" s="671">
        <f>+'Exh A Supp'!T50</f>
        <v>-48793.8</v>
      </c>
      <c r="H41" s="1349" t="s">
        <v>1516</v>
      </c>
      <c r="I41" s="3826">
        <f>-ROUND(SUM(G41)-SUM(C41),1)</f>
        <v>8277.7999999999993</v>
      </c>
      <c r="J41" s="658"/>
      <c r="K41" s="931">
        <f>-SUM(G41-E41)</f>
        <v>-231.19999999999709</v>
      </c>
      <c r="L41" s="352"/>
    </row>
    <row r="42" spans="1:12" ht="15.6">
      <c r="A42" s="170" t="s">
        <v>98</v>
      </c>
      <c r="B42" s="912" t="s">
        <v>14</v>
      </c>
      <c r="C42" s="1084">
        <f>ROUND(SUM(C40:C41),1)</f>
        <v>-1403</v>
      </c>
      <c r="D42" s="883"/>
      <c r="E42" s="1084">
        <f>ROUND(SUM(E40:E41),1)</f>
        <v>-2550</v>
      </c>
      <c r="F42" s="634"/>
      <c r="G42" s="291">
        <f>ROUND(SUM(G40:G41),1)</f>
        <v>-2874.6</v>
      </c>
      <c r="H42" s="634"/>
      <c r="I42" s="291">
        <f>ROUND(SUM(I40-I41),1)</f>
        <v>-1471.6</v>
      </c>
      <c r="J42" s="918"/>
      <c r="K42" s="291">
        <f>ROUND(SUM(K40-K41),1)</f>
        <v>-324.60000000000002</v>
      </c>
      <c r="L42" s="352"/>
    </row>
    <row r="43" spans="1:12" ht="15.6">
      <c r="A43" s="170"/>
      <c r="B43" s="912"/>
      <c r="C43" s="673"/>
      <c r="D43" s="883"/>
      <c r="E43" s="673"/>
      <c r="F43" s="634"/>
      <c r="G43" s="671"/>
      <c r="H43" s="634"/>
      <c r="I43" s="932"/>
      <c r="J43" s="913"/>
      <c r="K43" s="932"/>
      <c r="L43" s="352"/>
    </row>
    <row r="44" spans="1:12" ht="15.6">
      <c r="A44" s="26" t="s">
        <v>99</v>
      </c>
      <c r="B44" s="912"/>
      <c r="C44" s="883"/>
      <c r="D44" s="883"/>
      <c r="E44" s="883"/>
      <c r="F44" s="634"/>
      <c r="G44" s="634"/>
      <c r="H44" s="634"/>
      <c r="I44" s="931"/>
      <c r="J44" s="804"/>
      <c r="K44" s="931"/>
      <c r="L44" s="352"/>
    </row>
    <row r="45" spans="1:12" ht="15" customHeight="1">
      <c r="A45" s="26" t="s">
        <v>100</v>
      </c>
      <c r="B45" s="912"/>
      <c r="C45" s="883"/>
      <c r="D45" s="883"/>
      <c r="E45" s="883"/>
      <c r="F45" s="634"/>
      <c r="G45" s="634"/>
      <c r="H45" s="634"/>
      <c r="I45" s="931"/>
      <c r="J45" s="804"/>
      <c r="K45" s="931"/>
      <c r="L45" s="352"/>
    </row>
    <row r="46" spans="1:12" ht="15.6">
      <c r="A46" s="170" t="s">
        <v>101</v>
      </c>
      <c r="B46" s="171" t="s">
        <v>14</v>
      </c>
      <c r="C46" s="112">
        <f>ROUND(SUM(C26)-SUM(C34)+C42,1)</f>
        <v>4399</v>
      </c>
      <c r="D46" s="1093"/>
      <c r="E46" s="112">
        <f>ROUND(SUM(E26)-SUM(E34)+E42,1)</f>
        <v>30903</v>
      </c>
      <c r="F46" s="81"/>
      <c r="G46" s="73">
        <f>ROUND(SUM(G26)-SUM(G34)+G42,1)</f>
        <v>30132.1</v>
      </c>
      <c r="H46" s="81"/>
      <c r="I46" s="73">
        <f>ROUND(SUM(I26)-SUM(I34)+I42,1)</f>
        <v>25733.1</v>
      </c>
      <c r="J46" s="163"/>
      <c r="K46" s="73">
        <f>ROUND(SUM(K26)-SUM(K34)+K42,1)</f>
        <v>-770.9</v>
      </c>
      <c r="L46" s="352"/>
    </row>
    <row r="47" spans="1:12">
      <c r="A47" s="919"/>
      <c r="B47" s="613"/>
      <c r="C47" s="1469"/>
      <c r="D47" s="1630"/>
      <c r="E47" s="1469"/>
      <c r="F47" s="920"/>
      <c r="G47" s="660"/>
      <c r="H47" s="920"/>
      <c r="I47" s="660"/>
      <c r="J47" s="921"/>
      <c r="K47" s="660"/>
      <c r="L47" s="352"/>
    </row>
    <row r="48" spans="1:12" ht="15.6">
      <c r="A48" s="170" t="str">
        <f>'Exh D-Governmental  '!A49</f>
        <v>Fund Balances (Deficits) at April 1</v>
      </c>
      <c r="B48" s="922" t="s">
        <v>14</v>
      </c>
      <c r="C48" s="112">
        <f>'Exh D General Fund'!C49+'Exh D Special Revenue State Fed'!C41+'Exh D Debt Service'!C39</f>
        <v>14934</v>
      </c>
      <c r="D48" s="1630"/>
      <c r="E48" s="112">
        <v>14934</v>
      </c>
      <c r="F48" s="920"/>
      <c r="G48" s="73">
        <f>'Exh A Supp'!T57</f>
        <v>14934.4</v>
      </c>
      <c r="H48" s="920"/>
      <c r="I48" s="3011">
        <f>ROUND(SUM(G48)-SUM(C48),1)</f>
        <v>0.4</v>
      </c>
      <c r="J48" s="163"/>
      <c r="K48" s="1512">
        <f>G48-E48</f>
        <v>0.3999999999996362</v>
      </c>
      <c r="L48" s="352"/>
    </row>
    <row r="49" spans="1:12" ht="16.2" thickBot="1">
      <c r="A49" s="170" t="str">
        <f>'Exh D-Governmental  '!A50</f>
        <v>Fund Balances (Deficits) at January 31, 2022</v>
      </c>
      <c r="B49" s="177" t="s">
        <v>14</v>
      </c>
      <c r="C49" s="1470">
        <f>ROUND(SUM(C46:C48),1)</f>
        <v>19333</v>
      </c>
      <c r="D49" s="2038"/>
      <c r="E49" s="1470">
        <f>ROUND(SUM(E46:E48),1)</f>
        <v>45837</v>
      </c>
      <c r="F49" s="178"/>
      <c r="G49" s="95">
        <f>ROUND(SUM(G46:G48),1)</f>
        <v>45066.5</v>
      </c>
      <c r="H49" s="963"/>
      <c r="I49" s="95">
        <f>ROUND(SUM(I46:I48),1)</f>
        <v>25733.5</v>
      </c>
      <c r="J49" s="179"/>
      <c r="K49" s="95">
        <f>ROUND(SUM(K46:K48),1)</f>
        <v>-770.5</v>
      </c>
      <c r="L49" s="352"/>
    </row>
    <row r="50" spans="1:12" ht="15.6" thickTop="1">
      <c r="A50" s="919"/>
      <c r="B50" s="613"/>
      <c r="C50" s="1920"/>
      <c r="D50" s="939"/>
      <c r="E50" s="1920"/>
      <c r="F50" s="923"/>
      <c r="G50" s="923"/>
      <c r="H50" s="923"/>
      <c r="I50" s="923"/>
      <c r="J50" s="923"/>
      <c r="K50" s="923"/>
    </row>
    <row r="51" spans="1:12">
      <c r="A51" s="924" t="str">
        <f>'Exh D-Governmental  '!A52</f>
        <v>(*)    Source: 2021-22 Enacted Financial Plan dated May 25, 2021.</v>
      </c>
      <c r="G51" s="1162"/>
      <c r="I51" s="1162"/>
      <c r="K51" s="1162"/>
    </row>
    <row r="52" spans="1:12">
      <c r="A52" s="98" t="str">
        <f>'Exh D-Governmental  '!A53</f>
        <v>(**)   Source: 2022-23 Executive Budget dated January 18, 2022.</v>
      </c>
      <c r="G52" s="1162"/>
      <c r="I52" s="1162"/>
      <c r="K52" s="1162"/>
    </row>
    <row r="53" spans="1:12">
      <c r="A53" s="3797" t="s">
        <v>1513</v>
      </c>
      <c r="I53" s="1162"/>
      <c r="K53" s="1162"/>
    </row>
    <row r="54" spans="1:12">
      <c r="A54" s="3797" t="s">
        <v>1101</v>
      </c>
    </row>
    <row r="55" spans="1:12">
      <c r="A55" s="3798" t="s">
        <v>1515</v>
      </c>
      <c r="G55" s="1162"/>
    </row>
  </sheetData>
  <mergeCells count="2">
    <mergeCell ref="A5:E5"/>
    <mergeCell ref="C11:I11"/>
  </mergeCells>
  <printOptions horizontalCentered="1"/>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90" zoomScaleNormal="90" workbookViewId="0"/>
  </sheetViews>
  <sheetFormatPr defaultColWidth="8.81640625" defaultRowHeight="15"/>
  <cols>
    <col min="1" max="1" width="59" style="919" customWidth="1"/>
    <col min="2" max="2" width="2" style="613" customWidth="1"/>
    <col min="3" max="3" width="15.08984375" style="422" customWidth="1"/>
    <col min="4" max="4" width="1.81640625" style="923" customWidth="1"/>
    <col min="5" max="5" width="15.08984375" style="422" customWidth="1"/>
    <col min="6" max="6" width="2.81640625" style="923" customWidth="1"/>
    <col min="7" max="7" width="15.08984375" style="923" customWidth="1"/>
    <col min="8" max="8" width="4.81640625" style="923" customWidth="1"/>
    <col min="9" max="9" width="15.08984375" style="923" customWidth="1"/>
    <col min="10" max="10" width="2.08984375" style="923" customWidth="1"/>
    <col min="11" max="11" width="12.81640625" style="613" customWidth="1"/>
    <col min="12" max="12" width="18.08984375" style="422" bestFit="1" customWidth="1"/>
    <col min="13" max="13" width="2.81640625" style="923" customWidth="1"/>
    <col min="14" max="14" width="14.08984375" style="923" customWidth="1"/>
    <col min="15" max="15" width="2.81640625" style="923" customWidth="1"/>
    <col min="16" max="16" width="15.81640625" style="923" bestFit="1" customWidth="1"/>
    <col min="17" max="17" width="2" style="613" customWidth="1"/>
    <col min="18" max="18" width="11.81640625" style="613" customWidth="1"/>
    <col min="19" max="19" width="11.453125" style="613" customWidth="1"/>
    <col min="20" max="20" width="1.81640625" style="613" customWidth="1"/>
    <col min="21" max="21" width="11.81640625" style="613" customWidth="1"/>
    <col min="22" max="22" width="2.08984375" style="613" customWidth="1"/>
    <col min="23" max="23" width="11.453125" style="613" customWidth="1"/>
    <col min="24" max="24" width="0.54296875" style="613" customWidth="1"/>
    <col min="25" max="25" width="2.08984375" style="613" customWidth="1"/>
    <col min="26" max="26" width="10.54296875" style="613" customWidth="1"/>
    <col min="27" max="27" width="11.08984375" style="613" customWidth="1"/>
    <col min="28" max="28" width="2.08984375" style="613" customWidth="1"/>
    <col min="29" max="29" width="11.08984375" style="613" customWidth="1"/>
    <col min="30" max="30" width="2.08984375" style="613" customWidth="1"/>
    <col min="31" max="31" width="12.453125" style="613" customWidth="1"/>
    <col min="32" max="36" width="8.81640625" style="613"/>
    <col min="37" max="37" width="8.81640625" style="923"/>
    <col min="38" max="16384" width="8.81640625" style="919"/>
  </cols>
  <sheetData>
    <row r="1" spans="1:37">
      <c r="A1" s="925" t="s">
        <v>881</v>
      </c>
      <c r="B1" s="183"/>
      <c r="C1" s="416"/>
      <c r="D1" s="184"/>
      <c r="E1" s="416"/>
      <c r="F1" s="184"/>
      <c r="G1" s="184"/>
      <c r="H1" s="184"/>
      <c r="I1" s="184"/>
      <c r="J1" s="184"/>
      <c r="K1" s="183"/>
      <c r="L1" s="416"/>
      <c r="M1" s="184"/>
      <c r="N1" s="184"/>
      <c r="O1" s="184"/>
      <c r="P1" s="184"/>
      <c r="Q1" s="184"/>
      <c r="R1" s="183"/>
      <c r="S1" s="183"/>
      <c r="T1" s="183"/>
      <c r="U1" s="183"/>
      <c r="V1" s="183"/>
      <c r="W1" s="183"/>
      <c r="X1" s="183"/>
      <c r="Y1" s="183"/>
      <c r="Z1" s="183"/>
      <c r="AA1" s="183"/>
      <c r="AB1" s="183"/>
      <c r="AC1" s="183"/>
      <c r="AD1" s="183"/>
      <c r="AE1" s="183"/>
    </row>
    <row r="2" spans="1:37" ht="17.25" customHeight="1">
      <c r="A2" s="185"/>
      <c r="B2" s="186"/>
      <c r="C2" s="417"/>
      <c r="D2" s="184"/>
      <c r="E2" s="417"/>
      <c r="F2" s="184"/>
      <c r="G2" s="184"/>
      <c r="H2" s="184"/>
      <c r="I2" s="184"/>
      <c r="J2" s="184"/>
      <c r="K2" s="183"/>
      <c r="L2" s="416"/>
      <c r="M2" s="184"/>
      <c r="N2" s="187"/>
      <c r="O2" s="184"/>
      <c r="P2" s="184"/>
      <c r="Q2" s="184"/>
      <c r="R2" s="183"/>
      <c r="S2" s="183"/>
      <c r="T2" s="183"/>
      <c r="U2" s="183"/>
      <c r="V2" s="183"/>
      <c r="W2" s="183"/>
      <c r="X2" s="183"/>
      <c r="Y2" s="183"/>
      <c r="Z2" s="183"/>
      <c r="AA2" s="183"/>
      <c r="AB2" s="183"/>
      <c r="AC2" s="183"/>
      <c r="AD2" s="183"/>
      <c r="AE2" s="183"/>
    </row>
    <row r="3" spans="1:37" s="3935" customFormat="1" ht="18.75" customHeight="1">
      <c r="A3" s="188" t="s">
        <v>0</v>
      </c>
      <c r="B3" s="145"/>
      <c r="C3" s="418"/>
      <c r="D3" s="140"/>
      <c r="E3" s="418"/>
      <c r="F3" s="140"/>
      <c r="G3" s="140"/>
      <c r="H3" s="140"/>
      <c r="I3" s="810"/>
      <c r="J3" s="648"/>
      <c r="K3" s="810" t="s">
        <v>82</v>
      </c>
      <c r="L3" s="419"/>
      <c r="M3" s="140"/>
      <c r="N3" s="140"/>
      <c r="O3" s="140"/>
      <c r="P3" s="648"/>
      <c r="Q3" s="140"/>
      <c r="R3" s="153"/>
      <c r="S3" s="153"/>
      <c r="T3" s="153"/>
      <c r="U3" s="153"/>
      <c r="V3" s="153"/>
      <c r="W3" s="153"/>
      <c r="X3" s="153"/>
      <c r="Y3" s="153"/>
      <c r="Z3" s="153"/>
      <c r="AA3" s="153"/>
      <c r="AB3" s="153"/>
      <c r="AC3" s="153"/>
      <c r="AD3" s="153"/>
      <c r="AE3" s="189"/>
      <c r="AF3" s="912"/>
      <c r="AG3" s="912"/>
      <c r="AH3" s="912"/>
      <c r="AI3" s="912"/>
      <c r="AJ3" s="912"/>
      <c r="AK3" s="648"/>
    </row>
    <row r="4" spans="1:37" s="3935" customFormat="1" ht="18.75" customHeight="1">
      <c r="A4" s="188" t="s">
        <v>81</v>
      </c>
      <c r="B4" s="145"/>
      <c r="C4" s="418"/>
      <c r="D4" s="140"/>
      <c r="E4" s="418"/>
      <c r="F4" s="140"/>
      <c r="G4" s="140"/>
      <c r="H4" s="140"/>
      <c r="I4" s="811"/>
      <c r="J4" s="648"/>
      <c r="K4" s="811"/>
      <c r="L4" s="419"/>
      <c r="M4" s="140"/>
      <c r="N4" s="140"/>
      <c r="O4" s="140"/>
      <c r="P4" s="648"/>
      <c r="Q4" s="140"/>
      <c r="R4" s="153"/>
      <c r="S4" s="153"/>
      <c r="T4" s="153"/>
      <c r="U4" s="153"/>
      <c r="V4" s="153"/>
      <c r="W4" s="153"/>
      <c r="X4" s="153"/>
      <c r="Y4" s="153"/>
      <c r="Z4" s="153"/>
      <c r="AA4" s="153"/>
      <c r="AB4" s="153"/>
      <c r="AC4" s="153"/>
      <c r="AD4" s="153"/>
      <c r="AE4" s="153"/>
      <c r="AF4" s="912"/>
      <c r="AG4" s="912"/>
      <c r="AH4" s="912"/>
      <c r="AI4" s="912"/>
      <c r="AJ4" s="912"/>
      <c r="AK4" s="648"/>
    </row>
    <row r="5" spans="1:37" s="3935" customFormat="1" ht="18.75" customHeight="1">
      <c r="A5" s="3966" t="str">
        <f>'Exh D-Governmental  '!A5:E5</f>
        <v>FISCAL YEAR 2021-2022</v>
      </c>
      <c r="B5" s="3967"/>
      <c r="C5" s="3967"/>
      <c r="D5" s="3967"/>
      <c r="E5" s="3967"/>
      <c r="F5" s="140"/>
      <c r="G5" s="804"/>
      <c r="H5" s="140"/>
      <c r="I5" s="140"/>
      <c r="J5" s="140"/>
      <c r="K5" s="153"/>
      <c r="L5" s="419"/>
      <c r="M5" s="140"/>
      <c r="N5" s="140"/>
      <c r="O5" s="140"/>
      <c r="P5" s="648"/>
      <c r="Q5" s="140"/>
      <c r="R5" s="153"/>
      <c r="S5" s="153"/>
      <c r="T5" s="153"/>
      <c r="U5" s="153"/>
      <c r="V5" s="153"/>
      <c r="W5" s="153"/>
      <c r="X5" s="153"/>
      <c r="Y5" s="153"/>
      <c r="Z5" s="153"/>
      <c r="AA5" s="153"/>
      <c r="AB5" s="153"/>
      <c r="AC5" s="153"/>
      <c r="AD5" s="153"/>
      <c r="AE5" s="153"/>
      <c r="AF5" s="912"/>
      <c r="AG5" s="912"/>
      <c r="AH5" s="912"/>
      <c r="AI5" s="912"/>
      <c r="AJ5" s="912"/>
      <c r="AK5" s="648"/>
    </row>
    <row r="6" spans="1:37" s="3935" customFormat="1" ht="18.75" customHeight="1">
      <c r="A6" s="1457" t="str">
        <f>'Exh D-Governmental  '!A6</f>
        <v xml:space="preserve">FOR TEN MONTHS ENDED JANUARY 31, 2022    </v>
      </c>
      <c r="B6" s="3945"/>
      <c r="C6" s="3946"/>
      <c r="D6" s="3947"/>
      <c r="E6" s="3946"/>
      <c r="F6" s="140"/>
      <c r="G6" s="140"/>
      <c r="H6" s="140"/>
      <c r="I6" s="140"/>
      <c r="J6" s="140"/>
      <c r="K6" s="153"/>
      <c r="L6" s="419"/>
      <c r="M6" s="140"/>
      <c r="N6" s="140"/>
      <c r="O6" s="140"/>
      <c r="P6" s="140"/>
      <c r="Q6" s="140"/>
      <c r="R6" s="153"/>
      <c r="S6" s="153"/>
      <c r="T6" s="153"/>
      <c r="U6" s="153"/>
      <c r="V6" s="153"/>
      <c r="W6" s="153"/>
      <c r="X6" s="153"/>
      <c r="Y6" s="153"/>
      <c r="Z6" s="153"/>
      <c r="AA6" s="153"/>
      <c r="AB6" s="153"/>
      <c r="AC6" s="153"/>
      <c r="AD6" s="153"/>
      <c r="AE6" s="153"/>
      <c r="AF6" s="912"/>
      <c r="AG6" s="912"/>
      <c r="AH6" s="912"/>
      <c r="AI6" s="912"/>
      <c r="AJ6" s="912"/>
      <c r="AK6" s="648"/>
    </row>
    <row r="7" spans="1:37" s="3935" customFormat="1" ht="18.75" customHeight="1">
      <c r="A7" s="188" t="s">
        <v>1264</v>
      </c>
      <c r="B7" s="145"/>
      <c r="C7" s="418"/>
      <c r="D7" s="140"/>
      <c r="E7" s="418"/>
      <c r="F7" s="140"/>
      <c r="G7" s="140"/>
      <c r="H7" s="140"/>
      <c r="I7" s="140"/>
      <c r="J7" s="140"/>
      <c r="K7" s="153"/>
      <c r="L7" s="419"/>
      <c r="M7" s="140"/>
      <c r="N7" s="140"/>
      <c r="O7" s="140"/>
      <c r="P7" s="140"/>
      <c r="Q7" s="140"/>
      <c r="R7" s="153"/>
      <c r="S7" s="153"/>
      <c r="T7" s="153"/>
      <c r="U7" s="153"/>
      <c r="V7" s="153"/>
      <c r="W7" s="153"/>
      <c r="X7" s="153"/>
      <c r="Y7" s="153"/>
      <c r="Z7" s="153"/>
      <c r="AA7" s="153"/>
      <c r="AB7" s="153"/>
      <c r="AC7" s="153"/>
      <c r="AD7" s="153"/>
      <c r="AE7" s="153"/>
      <c r="AF7" s="912"/>
      <c r="AG7" s="912"/>
      <c r="AH7" s="912"/>
      <c r="AI7" s="912"/>
      <c r="AJ7" s="912"/>
      <c r="AK7" s="648"/>
    </row>
    <row r="8" spans="1:37" ht="15" customHeight="1">
      <c r="A8" s="190"/>
      <c r="B8" s="144"/>
      <c r="C8" s="418"/>
      <c r="D8" s="140"/>
      <c r="E8" s="418"/>
      <c r="F8" s="140"/>
      <c r="G8" s="140"/>
      <c r="H8" s="140"/>
      <c r="I8" s="140"/>
      <c r="J8" s="140"/>
      <c r="K8" s="153"/>
      <c r="L8" s="419"/>
      <c r="M8" s="140"/>
      <c r="N8" s="140"/>
      <c r="O8" s="140"/>
      <c r="P8" s="140"/>
      <c r="Q8" s="140"/>
      <c r="R8" s="153"/>
      <c r="S8" s="153"/>
      <c r="T8" s="153"/>
      <c r="U8" s="153"/>
      <c r="V8" s="153"/>
      <c r="W8" s="153"/>
      <c r="X8" s="153"/>
      <c r="Y8" s="153"/>
      <c r="Z8" s="153"/>
      <c r="AA8" s="153"/>
      <c r="AB8" s="153"/>
      <c r="AC8" s="153"/>
      <c r="AD8" s="153"/>
      <c r="AE8" s="153"/>
    </row>
    <row r="9" spans="1:37">
      <c r="A9" s="147"/>
      <c r="B9" s="153"/>
      <c r="C9" s="419"/>
      <c r="D9" s="140"/>
      <c r="E9" s="419"/>
      <c r="F9" s="140"/>
      <c r="G9" s="140"/>
      <c r="H9" s="140"/>
      <c r="I9" s="140"/>
      <c r="J9" s="140"/>
      <c r="K9" s="153"/>
      <c r="L9" s="419"/>
      <c r="M9" s="140"/>
      <c r="N9" s="140"/>
      <c r="O9" s="140"/>
      <c r="P9" s="140"/>
      <c r="Q9" s="140"/>
      <c r="R9" s="153"/>
      <c r="S9" s="153"/>
      <c r="T9" s="153"/>
      <c r="U9" s="153"/>
      <c r="V9" s="153"/>
      <c r="W9" s="153"/>
      <c r="X9" s="153"/>
      <c r="Y9" s="153"/>
      <c r="Z9" s="153"/>
      <c r="AA9" s="153"/>
      <c r="AB9" s="153"/>
      <c r="AC9" s="153"/>
      <c r="AD9" s="153"/>
      <c r="AE9" s="153"/>
    </row>
    <row r="10" spans="1:37">
      <c r="A10" s="147"/>
      <c r="B10" s="153"/>
      <c r="C10" s="419"/>
      <c r="D10" s="140"/>
      <c r="E10" s="419"/>
      <c r="F10" s="140"/>
      <c r="G10" s="140"/>
      <c r="H10" s="140"/>
      <c r="I10" s="140"/>
      <c r="J10" s="140"/>
      <c r="K10" s="153"/>
      <c r="L10" s="952"/>
      <c r="M10" s="144"/>
      <c r="N10" s="144"/>
      <c r="O10" s="144"/>
      <c r="P10" s="144"/>
      <c r="Q10" s="140"/>
      <c r="R10" s="153"/>
      <c r="S10" s="153"/>
      <c r="T10" s="153"/>
      <c r="U10" s="153"/>
      <c r="V10" s="153"/>
      <c r="W10" s="153"/>
      <c r="X10" s="153"/>
      <c r="Y10" s="153"/>
      <c r="Z10" s="153"/>
      <c r="AA10" s="153"/>
      <c r="AB10" s="153"/>
      <c r="AC10" s="153"/>
      <c r="AD10" s="153"/>
      <c r="AE10" s="153"/>
    </row>
    <row r="11" spans="1:37" ht="15.6">
      <c r="A11" s="679"/>
      <c r="C11" s="3968" t="s">
        <v>1038</v>
      </c>
      <c r="D11" s="3968"/>
      <c r="E11" s="3968"/>
      <c r="F11" s="3968"/>
      <c r="G11" s="3968"/>
      <c r="H11" s="3968"/>
      <c r="I11" s="3968"/>
      <c r="J11" s="1163"/>
      <c r="K11" s="1164"/>
      <c r="L11" s="423"/>
      <c r="M11" s="193"/>
      <c r="N11" s="193"/>
      <c r="O11" s="193"/>
      <c r="P11" s="193"/>
      <c r="Q11" s="148"/>
      <c r="R11" s="191"/>
      <c r="S11" s="191"/>
      <c r="T11" s="191"/>
      <c r="U11" s="191"/>
      <c r="V11" s="191"/>
      <c r="W11" s="191"/>
      <c r="X11" s="191"/>
      <c r="Y11" s="148"/>
      <c r="Z11" s="191"/>
      <c r="AA11" s="192"/>
      <c r="AB11" s="191"/>
      <c r="AC11" s="191"/>
      <c r="AD11" s="191"/>
      <c r="AE11" s="191"/>
    </row>
    <row r="12" spans="1:37" ht="15.6">
      <c r="A12" s="679"/>
      <c r="C12" s="420"/>
      <c r="D12" s="193"/>
      <c r="E12" s="420"/>
      <c r="F12" s="193"/>
      <c r="G12" s="194"/>
      <c r="H12" s="193"/>
      <c r="I12" s="193" t="s">
        <v>83</v>
      </c>
      <c r="J12" s="191"/>
      <c r="K12" s="193" t="s">
        <v>83</v>
      </c>
      <c r="L12" s="423"/>
      <c r="M12" s="193"/>
      <c r="N12" s="194"/>
      <c r="O12" s="193"/>
      <c r="P12" s="193"/>
      <c r="Q12" s="148"/>
      <c r="R12" s="191"/>
      <c r="S12" s="191"/>
      <c r="T12" s="191"/>
      <c r="U12" s="191"/>
      <c r="V12" s="191"/>
      <c r="W12" s="191"/>
      <c r="X12" s="191"/>
      <c r="Y12" s="148"/>
      <c r="Z12" s="191"/>
      <c r="AA12" s="192"/>
      <c r="AB12" s="191"/>
      <c r="AC12" s="191"/>
      <c r="AD12" s="191"/>
      <c r="AE12" s="191"/>
    </row>
    <row r="13" spans="1:37" ht="15.6">
      <c r="A13" s="679"/>
      <c r="B13" s="148"/>
      <c r="C13" s="421"/>
      <c r="D13" s="195"/>
      <c r="E13" s="421"/>
      <c r="F13" s="195"/>
      <c r="G13" s="195"/>
      <c r="H13" s="195"/>
      <c r="I13" s="196" t="s">
        <v>795</v>
      </c>
      <c r="J13" s="198"/>
      <c r="K13" s="196" t="s">
        <v>795</v>
      </c>
      <c r="L13" s="953"/>
      <c r="M13" s="954"/>
      <c r="N13" s="954"/>
      <c r="O13" s="954"/>
      <c r="P13" s="955"/>
      <c r="Q13" s="148"/>
      <c r="R13" s="148"/>
      <c r="S13" s="148"/>
      <c r="T13" s="148"/>
      <c r="U13" s="148"/>
      <c r="V13" s="148"/>
      <c r="W13" s="197"/>
      <c r="X13" s="198"/>
      <c r="Y13" s="148"/>
      <c r="Z13" s="148"/>
      <c r="AA13" s="148"/>
      <c r="AB13" s="148"/>
      <c r="AC13" s="148"/>
      <c r="AD13" s="148"/>
      <c r="AE13" s="197"/>
    </row>
    <row r="14" spans="1:37" ht="15.6">
      <c r="A14" s="679"/>
      <c r="B14" s="199"/>
      <c r="C14" s="151" t="s">
        <v>988</v>
      </c>
      <c r="D14" s="919"/>
      <c r="E14" s="150" t="s">
        <v>989</v>
      </c>
      <c r="F14" s="149"/>
      <c r="G14" s="149"/>
      <c r="H14" s="149"/>
      <c r="I14" s="150" t="s">
        <v>84</v>
      </c>
      <c r="J14" s="198"/>
      <c r="K14" s="150" t="s">
        <v>84</v>
      </c>
      <c r="L14" s="956"/>
      <c r="M14" s="148"/>
      <c r="N14" s="148"/>
      <c r="O14" s="148"/>
      <c r="P14" s="198"/>
      <c r="Q14" s="148"/>
      <c r="R14" s="197"/>
      <c r="S14" s="198"/>
      <c r="T14" s="148"/>
      <c r="U14" s="148"/>
      <c r="V14" s="148"/>
      <c r="W14" s="197"/>
      <c r="X14" s="198"/>
      <c r="Y14" s="148"/>
      <c r="Z14" s="197"/>
      <c r="AA14" s="198"/>
      <c r="AB14" s="148"/>
      <c r="AC14" s="148"/>
      <c r="AD14" s="148"/>
      <c r="AE14" s="197"/>
    </row>
    <row r="15" spans="1:37" ht="15.6">
      <c r="A15" s="679"/>
      <c r="B15" s="199"/>
      <c r="C15" s="150" t="s">
        <v>1024</v>
      </c>
      <c r="D15" s="149"/>
      <c r="E15" s="150" t="s">
        <v>1024</v>
      </c>
      <c r="F15" s="149"/>
      <c r="G15" s="149"/>
      <c r="H15" s="149"/>
      <c r="I15" s="150" t="s">
        <v>988</v>
      </c>
      <c r="J15" s="198"/>
      <c r="K15" s="150" t="s">
        <v>989</v>
      </c>
      <c r="L15" s="956"/>
      <c r="M15" s="148"/>
      <c r="N15" s="148"/>
      <c r="O15" s="148"/>
      <c r="P15" s="198"/>
      <c r="Q15" s="148"/>
      <c r="R15" s="197"/>
      <c r="S15" s="198"/>
      <c r="T15" s="148"/>
      <c r="U15" s="148"/>
      <c r="V15" s="148"/>
      <c r="W15" s="197"/>
      <c r="X15" s="198"/>
      <c r="Y15" s="148"/>
      <c r="Z15" s="197"/>
      <c r="AA15" s="198"/>
      <c r="AB15" s="148"/>
      <c r="AC15" s="148"/>
      <c r="AD15" s="148"/>
      <c r="AE15" s="197"/>
    </row>
    <row r="16" spans="1:37" ht="15.6">
      <c r="A16" s="679"/>
      <c r="B16" s="198"/>
      <c r="C16" s="150" t="s">
        <v>1025</v>
      </c>
      <c r="D16" s="149"/>
      <c r="E16" s="150" t="s">
        <v>1511</v>
      </c>
      <c r="F16" s="149"/>
      <c r="G16" s="151" t="s">
        <v>83</v>
      </c>
      <c r="H16" s="149"/>
      <c r="I16" s="150" t="s">
        <v>85</v>
      </c>
      <c r="J16" s="198"/>
      <c r="K16" s="150" t="s">
        <v>85</v>
      </c>
      <c r="L16" s="197"/>
      <c r="M16" s="148"/>
      <c r="N16" s="197"/>
      <c r="O16" s="148"/>
      <c r="P16" s="198"/>
      <c r="Q16" s="148"/>
      <c r="R16" s="198"/>
      <c r="S16" s="198"/>
      <c r="T16" s="148"/>
      <c r="U16" s="197"/>
      <c r="V16" s="148"/>
      <c r="W16" s="197"/>
      <c r="X16" s="198"/>
      <c r="Y16" s="148"/>
      <c r="Z16" s="198"/>
      <c r="AA16" s="198"/>
      <c r="AB16" s="148"/>
      <c r="AC16" s="197"/>
      <c r="AD16" s="148"/>
      <c r="AE16" s="197"/>
    </row>
    <row r="17" spans="1:31">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c r="Y17" s="153"/>
      <c r="Z17" s="153"/>
      <c r="AA17" s="153"/>
      <c r="AB17" s="153"/>
      <c r="AC17" s="153"/>
      <c r="AD17" s="153"/>
      <c r="AE17" s="153"/>
    </row>
    <row r="18" spans="1:31" ht="15.6">
      <c r="A18" s="26" t="s">
        <v>13</v>
      </c>
      <c r="B18" s="912"/>
      <c r="C18" s="648"/>
      <c r="D18" s="648"/>
      <c r="E18" s="648"/>
      <c r="F18" s="648"/>
      <c r="G18" s="648"/>
      <c r="H18" s="648"/>
      <c r="I18" s="648"/>
      <c r="J18" s="912"/>
      <c r="K18" s="912"/>
      <c r="L18" s="912"/>
      <c r="M18" s="912"/>
      <c r="N18" s="912"/>
      <c r="O18" s="912"/>
      <c r="P18" s="912"/>
      <c r="Q18" s="912"/>
      <c r="R18" s="912"/>
      <c r="S18" s="912"/>
      <c r="T18" s="912"/>
      <c r="U18" s="912"/>
      <c r="V18" s="912"/>
      <c r="W18" s="912"/>
      <c r="X18" s="912"/>
      <c r="Y18" s="912"/>
      <c r="Z18" s="912"/>
      <c r="AA18" s="912"/>
      <c r="AB18" s="912"/>
      <c r="AC18" s="912"/>
      <c r="AD18" s="912"/>
      <c r="AE18" s="912"/>
    </row>
    <row r="19" spans="1:31">
      <c r="A19" s="809" t="s">
        <v>86</v>
      </c>
      <c r="B19" s="913"/>
      <c r="C19" s="648"/>
      <c r="D19" s="913"/>
      <c r="E19" s="648"/>
      <c r="F19" s="913"/>
      <c r="G19" s="648"/>
      <c r="H19" s="913"/>
      <c r="I19" s="648"/>
      <c r="J19" s="912"/>
      <c r="K19" s="912"/>
      <c r="L19" s="912"/>
      <c r="M19" s="912"/>
      <c r="N19" s="912"/>
      <c r="O19" s="933"/>
      <c r="P19" s="912"/>
      <c r="Q19" s="912"/>
      <c r="R19" s="912"/>
      <c r="S19" s="912"/>
      <c r="T19" s="912"/>
      <c r="U19" s="912"/>
      <c r="V19" s="912"/>
      <c r="W19" s="912"/>
      <c r="X19" s="912"/>
      <c r="Y19" s="912"/>
      <c r="Z19" s="912"/>
      <c r="AA19" s="912"/>
      <c r="AB19" s="912"/>
      <c r="AC19" s="912"/>
      <c r="AD19" s="912"/>
      <c r="AE19" s="912"/>
    </row>
    <row r="20" spans="1:31">
      <c r="A20" s="809" t="s">
        <v>87</v>
      </c>
      <c r="B20" s="913" t="s">
        <v>14</v>
      </c>
      <c r="C20" s="2034">
        <v>23978</v>
      </c>
      <c r="D20" s="881"/>
      <c r="E20" s="2034">
        <v>28444</v>
      </c>
      <c r="F20" s="651"/>
      <c r="G20" s="649">
        <f>+'Exhibit F'!AC26</f>
        <v>27869.9</v>
      </c>
      <c r="H20" s="651"/>
      <c r="I20" s="649">
        <f>G20-C20</f>
        <v>3891.9000000000015</v>
      </c>
      <c r="J20" s="912"/>
      <c r="K20" s="649">
        <f>G20-E20</f>
        <v>-574.09999999999854</v>
      </c>
      <c r="L20" s="957"/>
      <c r="M20" s="957"/>
      <c r="N20" s="958"/>
      <c r="O20" s="957"/>
      <c r="P20" s="959"/>
      <c r="Q20" s="912"/>
      <c r="R20" s="912"/>
      <c r="S20" s="912"/>
      <c r="T20" s="912"/>
      <c r="U20" s="912"/>
      <c r="V20" s="912"/>
      <c r="W20" s="912"/>
      <c r="X20" s="912"/>
      <c r="Y20" s="912"/>
      <c r="Z20" s="912"/>
      <c r="AA20" s="912"/>
      <c r="AB20" s="912"/>
      <c r="AC20" s="912"/>
      <c r="AD20" s="912"/>
      <c r="AE20" s="912"/>
    </row>
    <row r="21" spans="1:31">
      <c r="A21" s="809" t="s">
        <v>88</v>
      </c>
      <c r="B21" s="912" t="s">
        <v>14</v>
      </c>
      <c r="C21" s="1110">
        <v>3709</v>
      </c>
      <c r="D21" s="883"/>
      <c r="E21" s="1110">
        <v>3953</v>
      </c>
      <c r="F21" s="634"/>
      <c r="G21" s="883">
        <f>+'Exhibit F'!AC36</f>
        <v>3963.9</v>
      </c>
      <c r="H21" s="634"/>
      <c r="I21" s="3825">
        <f t="shared" ref="I21:I25" si="0">ROUND(SUM(G21)-SUM(C21),1)</f>
        <v>254.9</v>
      </c>
      <c r="J21" s="912"/>
      <c r="K21" s="1511">
        <f>+G21-E21</f>
        <v>10.900000000000091</v>
      </c>
      <c r="L21" s="960"/>
      <c r="M21" s="931"/>
      <c r="N21" s="931"/>
      <c r="O21" s="931"/>
      <c r="P21" s="931"/>
      <c r="Q21" s="931"/>
      <c r="R21" s="931"/>
      <c r="S21" s="912"/>
      <c r="T21" s="912"/>
      <c r="U21" s="912"/>
      <c r="V21" s="912"/>
      <c r="W21" s="912"/>
      <c r="X21" s="912"/>
      <c r="Y21" s="912"/>
      <c r="Z21" s="912"/>
      <c r="AA21" s="912"/>
      <c r="AB21" s="912"/>
      <c r="AC21" s="912"/>
      <c r="AD21" s="912"/>
      <c r="AE21" s="912"/>
    </row>
    <row r="22" spans="1:31">
      <c r="A22" s="809" t="s">
        <v>89</v>
      </c>
      <c r="B22" s="913" t="s">
        <v>14</v>
      </c>
      <c r="C22" s="1110">
        <v>4804</v>
      </c>
      <c r="D22" s="673"/>
      <c r="E22" s="1110">
        <v>11608</v>
      </c>
      <c r="F22" s="671"/>
      <c r="G22" s="920">
        <f>+'Exhibit F'!AC44</f>
        <v>11721.5</v>
      </c>
      <c r="H22" s="671"/>
      <c r="I22" s="3825">
        <f t="shared" si="0"/>
        <v>6917.5</v>
      </c>
      <c r="J22" s="912"/>
      <c r="K22" s="1511">
        <f>+G22-E22</f>
        <v>113.5</v>
      </c>
      <c r="L22" s="960"/>
      <c r="M22" s="932"/>
      <c r="N22" s="931"/>
      <c r="O22" s="932"/>
      <c r="P22" s="931"/>
      <c r="Q22" s="932"/>
      <c r="R22" s="931"/>
      <c r="S22" s="912"/>
      <c r="T22" s="933"/>
      <c r="U22" s="912"/>
      <c r="V22" s="933"/>
      <c r="W22" s="912"/>
      <c r="X22" s="912"/>
      <c r="Y22" s="933"/>
      <c r="Z22" s="912"/>
      <c r="AA22" s="912"/>
      <c r="AB22" s="933"/>
      <c r="AC22" s="200"/>
      <c r="AD22" s="933"/>
      <c r="AE22" s="912"/>
    </row>
    <row r="23" spans="1:31">
      <c r="A23" s="809" t="s">
        <v>90</v>
      </c>
      <c r="B23" s="912" t="s">
        <v>14</v>
      </c>
      <c r="C23" s="1110">
        <v>1031</v>
      </c>
      <c r="D23" s="883"/>
      <c r="E23" s="1110">
        <v>1201</v>
      </c>
      <c r="F23" s="634"/>
      <c r="G23" s="883">
        <f>+'Exhibit F'!AC52</f>
        <v>1188.2</v>
      </c>
      <c r="H23" s="634"/>
      <c r="I23" s="3825">
        <f t="shared" si="0"/>
        <v>157.19999999999999</v>
      </c>
      <c r="J23" s="912"/>
      <c r="K23" s="1511">
        <f>+G23-E23</f>
        <v>-12.799999999999955</v>
      </c>
      <c r="L23" s="961"/>
      <c r="M23" s="931"/>
      <c r="N23" s="931"/>
      <c r="O23" s="931"/>
      <c r="P23" s="931"/>
      <c r="Q23" s="931"/>
      <c r="R23" s="931"/>
      <c r="S23" s="912"/>
      <c r="T23" s="912"/>
      <c r="U23" s="912"/>
      <c r="V23" s="912"/>
      <c r="W23" s="912"/>
      <c r="X23" s="912"/>
      <c r="Y23" s="912"/>
      <c r="Z23" s="912"/>
      <c r="AA23" s="912"/>
      <c r="AB23" s="912"/>
      <c r="AC23" s="912"/>
      <c r="AD23" s="912"/>
      <c r="AE23" s="912"/>
    </row>
    <row r="24" spans="1:31" ht="15" customHeight="1">
      <c r="A24" s="809" t="s">
        <v>19</v>
      </c>
      <c r="B24" s="912" t="s">
        <v>14</v>
      </c>
      <c r="C24" s="1110">
        <v>1400</v>
      </c>
      <c r="D24" s="1953"/>
      <c r="E24" s="1110">
        <v>1634</v>
      </c>
      <c r="F24" s="930"/>
      <c r="G24" s="676">
        <f>+'Exhibit F'!AC93</f>
        <v>1805.8</v>
      </c>
      <c r="H24" s="634"/>
      <c r="I24" s="3825">
        <f t="shared" si="0"/>
        <v>405.8</v>
      </c>
      <c r="J24" s="912"/>
      <c r="K24" s="1511">
        <f>+G24-E24</f>
        <v>171.79999999999995</v>
      </c>
      <c r="L24" s="961"/>
      <c r="M24" s="931"/>
      <c r="N24" s="931"/>
      <c r="O24" s="931"/>
      <c r="P24" s="931"/>
      <c r="Q24" s="931"/>
      <c r="R24" s="931"/>
      <c r="S24" s="912"/>
      <c r="T24" s="912"/>
      <c r="U24" s="912"/>
      <c r="V24" s="912"/>
      <c r="W24" s="912"/>
      <c r="X24" s="912"/>
      <c r="Y24" s="912"/>
      <c r="Z24" s="912"/>
      <c r="AA24" s="912"/>
      <c r="AB24" s="912"/>
      <c r="AC24" s="912"/>
      <c r="AD24" s="912"/>
      <c r="AE24" s="912"/>
    </row>
    <row r="25" spans="1:31" ht="15" customHeight="1">
      <c r="A25" s="809" t="s">
        <v>20</v>
      </c>
      <c r="B25" s="912" t="s">
        <v>14</v>
      </c>
      <c r="C25" s="1110">
        <v>0</v>
      </c>
      <c r="D25" s="883"/>
      <c r="E25" s="1110">
        <v>0</v>
      </c>
      <c r="F25" s="634"/>
      <c r="G25" s="676">
        <f>+'Exhibit F'!AC95</f>
        <v>0</v>
      </c>
      <c r="H25" s="634"/>
      <c r="I25" s="3825">
        <f t="shared" si="0"/>
        <v>0</v>
      </c>
      <c r="J25" s="912"/>
      <c r="K25" s="1511">
        <f>+G25-E25</f>
        <v>0</v>
      </c>
      <c r="L25" s="960"/>
      <c r="M25" s="931"/>
      <c r="N25" s="931"/>
      <c r="O25" s="931"/>
      <c r="P25" s="931"/>
      <c r="Q25" s="931"/>
      <c r="R25" s="934"/>
      <c r="S25" s="935"/>
      <c r="T25" s="912"/>
      <c r="U25" s="935"/>
      <c r="V25" s="912"/>
      <c r="W25" s="935"/>
      <c r="X25" s="936"/>
      <c r="Y25" s="912"/>
      <c r="Z25" s="912"/>
      <c r="AA25" s="912"/>
      <c r="AB25" s="912"/>
      <c r="AC25" s="912"/>
      <c r="AD25" s="912"/>
      <c r="AE25" s="912"/>
    </row>
    <row r="26" spans="1:31" ht="18" customHeight="1">
      <c r="A26" s="809" t="s">
        <v>104</v>
      </c>
      <c r="B26" s="936"/>
      <c r="C26" s="650"/>
      <c r="D26" s="883"/>
      <c r="E26" s="650"/>
      <c r="F26" s="634"/>
      <c r="G26" s="2116"/>
      <c r="H26" s="634"/>
      <c r="I26" s="634"/>
      <c r="J26" s="936"/>
      <c r="K26" s="1511"/>
      <c r="L26" s="934"/>
      <c r="M26" s="931"/>
      <c r="N26" s="934"/>
      <c r="O26" s="931"/>
      <c r="P26" s="934"/>
      <c r="Q26" s="931"/>
      <c r="R26" s="934"/>
      <c r="S26" s="935"/>
      <c r="T26" s="912"/>
      <c r="U26" s="935"/>
      <c r="V26" s="912"/>
      <c r="W26" s="935"/>
      <c r="X26" s="936"/>
      <c r="Y26" s="912"/>
      <c r="Z26" s="912"/>
      <c r="AA26" s="912"/>
      <c r="AB26" s="912"/>
      <c r="AC26" s="912"/>
      <c r="AD26" s="912"/>
      <c r="AE26" s="912"/>
    </row>
    <row r="27" spans="1:31">
      <c r="A27" s="880" t="s">
        <v>1542</v>
      </c>
      <c r="B27" s="936" t="s">
        <v>14</v>
      </c>
      <c r="C27" s="1110">
        <v>23043</v>
      </c>
      <c r="D27" s="883"/>
      <c r="E27" s="1110">
        <v>29199</v>
      </c>
      <c r="F27" s="634"/>
      <c r="G27" s="883">
        <f>'Exhibit F'!AC124</f>
        <v>28738</v>
      </c>
      <c r="H27" s="634"/>
      <c r="I27" s="3825">
        <f t="shared" ref="I27:I30" si="1">ROUND(SUM(G27)-SUM(C27),1)</f>
        <v>5695</v>
      </c>
      <c r="J27" s="936"/>
      <c r="K27" s="1511">
        <f>+G27-E27</f>
        <v>-461</v>
      </c>
      <c r="L27" s="934"/>
      <c r="M27" s="931"/>
      <c r="N27" s="934"/>
      <c r="O27" s="931"/>
      <c r="P27" s="931"/>
      <c r="Q27" s="931"/>
      <c r="R27" s="934"/>
      <c r="S27" s="935"/>
      <c r="T27" s="912"/>
      <c r="U27" s="935"/>
      <c r="V27" s="912"/>
      <c r="W27" s="935"/>
      <c r="X27" s="936"/>
      <c r="Y27" s="912"/>
      <c r="Z27" s="912"/>
      <c r="AA27" s="912"/>
      <c r="AB27" s="912"/>
      <c r="AC27" s="912"/>
      <c r="AD27" s="912"/>
      <c r="AE27" s="912"/>
    </row>
    <row r="28" spans="1:31">
      <c r="A28" s="809" t="s">
        <v>987</v>
      </c>
      <c r="B28" s="936" t="s">
        <v>14</v>
      </c>
      <c r="C28" s="1110">
        <v>9221</v>
      </c>
      <c r="D28" s="883"/>
      <c r="E28" s="1110">
        <v>9997</v>
      </c>
      <c r="F28" s="634"/>
      <c r="G28" s="1520">
        <f>'Exhibit F'!AC125</f>
        <v>10030.6</v>
      </c>
      <c r="H28" s="634"/>
      <c r="I28" s="3825">
        <f t="shared" si="1"/>
        <v>809.6</v>
      </c>
      <c r="J28" s="936"/>
      <c r="K28" s="1511">
        <f>+G28-E28</f>
        <v>33.600000000000364</v>
      </c>
      <c r="L28" s="934" t="s">
        <v>14</v>
      </c>
      <c r="M28" s="931"/>
      <c r="N28" s="934"/>
      <c r="O28" s="931"/>
      <c r="P28" s="931"/>
      <c r="Q28" s="931"/>
      <c r="R28" s="934"/>
      <c r="S28" s="935"/>
      <c r="T28" s="912"/>
      <c r="U28" s="935"/>
      <c r="V28" s="912"/>
      <c r="W28" s="935"/>
      <c r="X28" s="936"/>
      <c r="Y28" s="912"/>
      <c r="Z28" s="912"/>
      <c r="AA28" s="912"/>
      <c r="AB28" s="912"/>
      <c r="AC28" s="912"/>
      <c r="AD28" s="912"/>
      <c r="AE28" s="912"/>
    </row>
    <row r="29" spans="1:31">
      <c r="A29" s="809" t="s">
        <v>105</v>
      </c>
      <c r="B29" s="936" t="s">
        <v>14</v>
      </c>
      <c r="C29" s="1110">
        <v>769</v>
      </c>
      <c r="D29" s="883"/>
      <c r="E29" s="1110">
        <v>1218</v>
      </c>
      <c r="F29" s="634"/>
      <c r="G29" s="883">
        <f>'Exhibit F'!AC126</f>
        <v>1246.5999999999999</v>
      </c>
      <c r="H29" s="634"/>
      <c r="I29" s="3825">
        <f t="shared" si="1"/>
        <v>477.6</v>
      </c>
      <c r="J29" s="936"/>
      <c r="K29" s="1511">
        <f>+G29-E29</f>
        <v>28.599999999999909</v>
      </c>
      <c r="L29" s="934"/>
      <c r="M29" s="931"/>
      <c r="N29" s="934"/>
      <c r="O29" s="931"/>
      <c r="P29" s="931"/>
      <c r="Q29" s="931"/>
      <c r="R29" s="934"/>
      <c r="S29" s="935"/>
      <c r="T29" s="912"/>
      <c r="U29" s="935"/>
      <c r="V29" s="912"/>
      <c r="W29" s="935"/>
      <c r="X29" s="936"/>
      <c r="Y29" s="912"/>
      <c r="Z29" s="912"/>
      <c r="AA29" s="912"/>
      <c r="AB29" s="912"/>
      <c r="AC29" s="912"/>
      <c r="AD29" s="912"/>
      <c r="AE29" s="912"/>
    </row>
    <row r="30" spans="1:31">
      <c r="A30" s="809" t="s">
        <v>106</v>
      </c>
      <c r="B30" s="936" t="s">
        <v>14</v>
      </c>
      <c r="C30" s="1110">
        <v>1971</v>
      </c>
      <c r="D30" s="883"/>
      <c r="E30" s="1110">
        <v>1808</v>
      </c>
      <c r="F30" s="634"/>
      <c r="G30" s="1695">
        <f>'Exhibit F'!AC127</f>
        <v>1690.2000000000012</v>
      </c>
      <c r="H30" s="634"/>
      <c r="I30" s="3825">
        <f t="shared" si="1"/>
        <v>-280.8</v>
      </c>
      <c r="J30" s="936"/>
      <c r="K30" s="1511">
        <f>+G30-E30</f>
        <v>-117.79999999999882</v>
      </c>
      <c r="L30" s="962"/>
      <c r="M30" s="931"/>
      <c r="N30" s="932"/>
      <c r="O30" s="931"/>
      <c r="P30" s="931"/>
      <c r="Q30" s="931"/>
      <c r="R30" s="934"/>
      <c r="S30" s="935"/>
      <c r="T30" s="912"/>
      <c r="U30" s="935"/>
      <c r="V30" s="912"/>
      <c r="W30" s="935"/>
      <c r="X30" s="936"/>
      <c r="Y30" s="912"/>
      <c r="Z30" s="912"/>
      <c r="AA30" s="912"/>
      <c r="AB30" s="912"/>
      <c r="AC30" s="912"/>
      <c r="AD30" s="912"/>
      <c r="AE30" s="912"/>
    </row>
    <row r="31" spans="1:31" ht="18" customHeight="1">
      <c r="A31" s="170" t="s">
        <v>107</v>
      </c>
      <c r="B31" s="148" t="s">
        <v>14</v>
      </c>
      <c r="C31" s="1854">
        <f>ROUND(SUM(C20:C30),1)</f>
        <v>69926</v>
      </c>
      <c r="D31" s="109"/>
      <c r="E31" s="1854">
        <f>ROUND(SUM(E20:E30),1)</f>
        <v>89062</v>
      </c>
      <c r="F31" s="910"/>
      <c r="G31" s="212">
        <f>ROUND(SUM(G20:G30),1)</f>
        <v>88254.7</v>
      </c>
      <c r="H31" s="910"/>
      <c r="I31" s="291">
        <f>ROUND(SUM(I20:I30),1)</f>
        <v>18328.7</v>
      </c>
      <c r="J31" s="148"/>
      <c r="K31" s="291">
        <f>ROUND(SUM(K20:K30),1)</f>
        <v>-807.3</v>
      </c>
      <c r="L31" s="73"/>
      <c r="M31" s="73"/>
      <c r="N31" s="73"/>
      <c r="O31" s="73"/>
      <c r="P31" s="73"/>
      <c r="Q31" s="73"/>
      <c r="R31" s="73"/>
      <c r="S31" s="148"/>
      <c r="T31" s="148"/>
      <c r="U31" s="148"/>
      <c r="V31" s="148"/>
      <c r="W31" s="148"/>
      <c r="X31" s="148"/>
      <c r="Y31" s="148"/>
      <c r="Z31" s="148"/>
      <c r="AA31" s="148"/>
      <c r="AB31" s="148"/>
      <c r="AC31" s="148"/>
      <c r="AD31" s="148"/>
      <c r="AE31" s="148"/>
    </row>
    <row r="32" spans="1:31">
      <c r="A32" s="679"/>
      <c r="B32" s="912"/>
      <c r="C32" s="1855"/>
      <c r="D32" s="883"/>
      <c r="E32" s="1855"/>
      <c r="F32" s="634"/>
      <c r="G32" s="677"/>
      <c r="H32" s="634"/>
      <c r="I32" s="931"/>
      <c r="J32" s="912"/>
      <c r="K32" s="931"/>
      <c r="L32" s="931"/>
      <c r="M32" s="931"/>
      <c r="N32" s="931"/>
      <c r="O32" s="931"/>
      <c r="P32" s="931"/>
      <c r="Q32" s="931"/>
      <c r="R32" s="931"/>
      <c r="S32" s="912"/>
      <c r="T32" s="912"/>
      <c r="U32" s="912"/>
      <c r="V32" s="912"/>
      <c r="W32" s="912"/>
      <c r="X32" s="912"/>
      <c r="Y32" s="912"/>
      <c r="Z32" s="912"/>
      <c r="AA32" s="912"/>
      <c r="AB32" s="912"/>
      <c r="AC32" s="912"/>
      <c r="AD32" s="912"/>
      <c r="AE32" s="912"/>
    </row>
    <row r="33" spans="1:31" ht="15.6">
      <c r="A33" s="26" t="s">
        <v>22</v>
      </c>
      <c r="B33" s="912"/>
      <c r="C33" s="883"/>
      <c r="D33" s="883"/>
      <c r="E33" s="883"/>
      <c r="F33" s="634"/>
      <c r="G33" s="634"/>
      <c r="H33" s="634"/>
      <c r="I33" s="634"/>
      <c r="J33" s="912"/>
      <c r="K33" s="931"/>
      <c r="L33" s="931"/>
      <c r="M33" s="931"/>
      <c r="N33" s="931"/>
      <c r="O33" s="931"/>
      <c r="P33" s="931"/>
      <c r="Q33" s="931"/>
      <c r="R33" s="931"/>
      <c r="S33" s="912"/>
      <c r="T33" s="912"/>
      <c r="U33" s="912"/>
      <c r="V33" s="912"/>
      <c r="W33" s="912"/>
      <c r="X33" s="912"/>
      <c r="Y33" s="912"/>
      <c r="Z33" s="912"/>
      <c r="AA33" s="912"/>
      <c r="AB33" s="912"/>
      <c r="AC33" s="912"/>
      <c r="AD33" s="912"/>
      <c r="AE33" s="912"/>
    </row>
    <row r="34" spans="1:31">
      <c r="A34" s="809" t="s">
        <v>92</v>
      </c>
      <c r="B34" s="933" t="s">
        <v>14</v>
      </c>
      <c r="C34" s="1110">
        <v>44716</v>
      </c>
      <c r="D34" s="883"/>
      <c r="E34" s="1110">
        <v>43472</v>
      </c>
      <c r="F34" s="634"/>
      <c r="G34" s="671">
        <f>+'Exhibit F'!AC111</f>
        <v>42678.6</v>
      </c>
      <c r="H34" s="634"/>
      <c r="I34" s="3825">
        <f t="shared" ref="I34:I36" si="2">ROUND(SUM(G34)-SUM(C34),1)</f>
        <v>-2037.4</v>
      </c>
      <c r="J34" s="912"/>
      <c r="K34" s="1511">
        <f>+G34-E34</f>
        <v>-793.40000000000146</v>
      </c>
      <c r="L34" s="932"/>
      <c r="M34" s="931"/>
      <c r="N34" s="932"/>
      <c r="O34" s="931"/>
      <c r="P34" s="931"/>
      <c r="Q34" s="931"/>
      <c r="R34" s="934"/>
      <c r="S34" s="935"/>
      <c r="T34" s="912"/>
      <c r="U34" s="935"/>
      <c r="V34" s="912"/>
      <c r="W34" s="935"/>
      <c r="X34" s="936"/>
      <c r="Y34" s="912"/>
      <c r="Z34" s="912"/>
      <c r="AA34" s="912"/>
      <c r="AB34" s="912"/>
      <c r="AC34" s="912"/>
      <c r="AD34" s="912"/>
      <c r="AE34" s="912"/>
    </row>
    <row r="35" spans="1:31">
      <c r="A35" s="809" t="s">
        <v>93</v>
      </c>
      <c r="B35" s="933" t="s">
        <v>14</v>
      </c>
      <c r="C35" s="1110">
        <v>10042</v>
      </c>
      <c r="D35" s="883"/>
      <c r="E35" s="1110">
        <v>9000</v>
      </c>
      <c r="F35" s="634"/>
      <c r="G35" s="671">
        <f>+'Exhibit F'!AC113+'Exhibit F'!AC114</f>
        <v>8844.4</v>
      </c>
      <c r="H35" s="634"/>
      <c r="I35" s="3825">
        <f t="shared" si="2"/>
        <v>-1197.5999999999999</v>
      </c>
      <c r="J35" s="912"/>
      <c r="K35" s="1511">
        <f>+G35-E35</f>
        <v>-155.60000000000036</v>
      </c>
      <c r="L35" s="932"/>
      <c r="M35" s="931"/>
      <c r="N35" s="932"/>
      <c r="O35" s="931"/>
      <c r="P35" s="931"/>
      <c r="Q35" s="931"/>
      <c r="R35" s="932"/>
      <c r="S35" s="933"/>
      <c r="T35" s="912"/>
      <c r="U35" s="933"/>
      <c r="V35" s="912"/>
      <c r="W35" s="935"/>
      <c r="X35" s="912"/>
      <c r="Y35" s="912"/>
      <c r="Z35" s="935"/>
      <c r="AA35" s="935"/>
      <c r="AB35" s="912"/>
      <c r="AC35" s="935"/>
      <c r="AD35" s="912"/>
      <c r="AE35" s="935"/>
    </row>
    <row r="36" spans="1:31">
      <c r="A36" s="809" t="s">
        <v>68</v>
      </c>
      <c r="B36" s="933" t="s">
        <v>14</v>
      </c>
      <c r="C36" s="1110">
        <v>7183</v>
      </c>
      <c r="D36" s="883"/>
      <c r="E36" s="1110">
        <v>6629</v>
      </c>
      <c r="F36" s="634"/>
      <c r="G36" s="671">
        <f>+'Exhibit F'!AC115</f>
        <v>6628.1</v>
      </c>
      <c r="H36" s="634"/>
      <c r="I36" s="3825">
        <f t="shared" si="2"/>
        <v>-554.9</v>
      </c>
      <c r="J36" s="912"/>
      <c r="K36" s="1511">
        <f>+G36-E36</f>
        <v>-0.8999999999996362</v>
      </c>
      <c r="L36" s="932"/>
      <c r="M36" s="931"/>
      <c r="N36" s="932"/>
      <c r="O36" s="931"/>
      <c r="P36" s="931"/>
      <c r="Q36" s="931"/>
      <c r="R36" s="934"/>
      <c r="S36" s="935"/>
      <c r="T36" s="912"/>
      <c r="U36" s="935"/>
      <c r="V36" s="912"/>
      <c r="W36" s="935"/>
      <c r="X36" s="936"/>
      <c r="Y36" s="912"/>
      <c r="Z36" s="935"/>
      <c r="AA36" s="935"/>
      <c r="AB36" s="912"/>
      <c r="AC36" s="935"/>
      <c r="AD36" s="912"/>
      <c r="AE36" s="935"/>
    </row>
    <row r="37" spans="1:31" ht="18" customHeight="1">
      <c r="A37" s="809" t="s">
        <v>108</v>
      </c>
      <c r="B37" s="936"/>
      <c r="C37" s="650"/>
      <c r="D37" s="883"/>
      <c r="E37" s="650"/>
      <c r="F37" s="634"/>
      <c r="G37" s="650"/>
      <c r="H37" s="634"/>
      <c r="I37" s="634"/>
      <c r="J37" s="936"/>
      <c r="K37" s="1511" t="s">
        <v>14</v>
      </c>
      <c r="L37" s="962"/>
      <c r="M37" s="931"/>
      <c r="N37" s="962"/>
      <c r="O37" s="931"/>
      <c r="P37" s="931"/>
      <c r="Q37" s="931"/>
      <c r="R37" s="934"/>
      <c r="S37" s="935"/>
      <c r="T37" s="912"/>
      <c r="U37" s="935"/>
      <c r="V37" s="912"/>
      <c r="W37" s="935"/>
      <c r="X37" s="936"/>
      <c r="Y37" s="912"/>
      <c r="Z37" s="912"/>
      <c r="AA37" s="912"/>
      <c r="AB37" s="912"/>
      <c r="AC37" s="912"/>
      <c r="AD37" s="912"/>
      <c r="AE37" s="912"/>
    </row>
    <row r="38" spans="1:31">
      <c r="A38" s="809" t="s">
        <v>109</v>
      </c>
      <c r="B38" s="936" t="s">
        <v>14</v>
      </c>
      <c r="C38" s="1110">
        <v>424</v>
      </c>
      <c r="D38" s="883"/>
      <c r="E38" s="1110">
        <v>369</v>
      </c>
      <c r="F38" s="634"/>
      <c r="G38" s="674">
        <f>-'Exhibit F'!AC130</f>
        <v>365.6</v>
      </c>
      <c r="H38" s="634"/>
      <c r="I38" s="3825">
        <f t="shared" ref="I38:I42" si="3">ROUND(SUM(G38)-SUM(C38),1)</f>
        <v>-58.4</v>
      </c>
      <c r="J38" s="936"/>
      <c r="K38" s="1511">
        <f>+G38-E38</f>
        <v>-3.3999999999999773</v>
      </c>
      <c r="L38" s="934"/>
      <c r="M38" s="931"/>
      <c r="N38" s="934"/>
      <c r="O38" s="931"/>
      <c r="P38" s="931"/>
      <c r="Q38" s="931"/>
      <c r="R38" s="934"/>
      <c r="S38" s="935"/>
      <c r="T38" s="912"/>
      <c r="U38" s="935"/>
      <c r="V38" s="912"/>
      <c r="W38" s="935"/>
      <c r="X38" s="936"/>
      <c r="Y38" s="912"/>
      <c r="Z38" s="912"/>
      <c r="AA38" s="912"/>
      <c r="AB38" s="912"/>
      <c r="AC38" s="912"/>
      <c r="AD38" s="912"/>
      <c r="AE38" s="912"/>
    </row>
    <row r="39" spans="1:31">
      <c r="A39" s="809" t="s">
        <v>110</v>
      </c>
      <c r="B39" s="936" t="s">
        <v>14</v>
      </c>
      <c r="C39" s="1110">
        <v>3373</v>
      </c>
      <c r="D39" s="883"/>
      <c r="E39" s="1110">
        <v>4385</v>
      </c>
      <c r="F39" s="634"/>
      <c r="G39" s="674">
        <f>-'Exhibit F'!AC128-'Exhibit F'!AC129</f>
        <v>4667.8</v>
      </c>
      <c r="H39" s="1511" t="s">
        <v>14</v>
      </c>
      <c r="I39" s="3825">
        <f t="shared" si="3"/>
        <v>1294.8</v>
      </c>
      <c r="J39" s="936"/>
      <c r="K39" s="1511">
        <f>+G39-E39</f>
        <v>282.80000000000018</v>
      </c>
      <c r="L39" s="934" t="s">
        <v>14</v>
      </c>
      <c r="M39" s="931"/>
      <c r="N39" s="934"/>
      <c r="O39" s="931"/>
      <c r="P39" s="931"/>
      <c r="Q39" s="931"/>
      <c r="R39" s="934"/>
      <c r="S39" s="935"/>
      <c r="T39" s="912"/>
      <c r="U39" s="935"/>
      <c r="V39" s="912"/>
      <c r="W39" s="935"/>
      <c r="X39" s="936"/>
      <c r="Y39" s="912"/>
      <c r="Z39" s="912"/>
      <c r="AA39" s="912"/>
      <c r="AB39" s="912"/>
      <c r="AC39" s="912"/>
      <c r="AD39" s="912"/>
      <c r="AE39" s="912"/>
    </row>
    <row r="40" spans="1:31">
      <c r="A40" s="809" t="s">
        <v>111</v>
      </c>
      <c r="B40" s="936" t="s">
        <v>14</v>
      </c>
      <c r="C40" s="1110">
        <v>0</v>
      </c>
      <c r="D40" s="883"/>
      <c r="E40" s="1110">
        <v>0</v>
      </c>
      <c r="F40" s="634"/>
      <c r="G40" s="1520">
        <v>240.9</v>
      </c>
      <c r="H40" s="1511" t="s">
        <v>774</v>
      </c>
      <c r="I40" s="3825">
        <f t="shared" si="3"/>
        <v>240.9</v>
      </c>
      <c r="J40" s="936"/>
      <c r="K40" s="1511">
        <f>+G40-E40</f>
        <v>240.9</v>
      </c>
      <c r="L40" s="934"/>
      <c r="M40" s="931"/>
      <c r="N40" s="934"/>
      <c r="O40" s="931"/>
      <c r="P40" s="931"/>
      <c r="Q40" s="931"/>
      <c r="R40" s="934"/>
      <c r="S40" s="935"/>
      <c r="T40" s="912"/>
      <c r="U40" s="935"/>
      <c r="V40" s="912"/>
      <c r="W40" s="935"/>
      <c r="X40" s="936"/>
      <c r="Y40" s="912"/>
      <c r="Z40" s="912"/>
      <c r="AA40" s="912"/>
      <c r="AB40" s="912"/>
      <c r="AC40" s="912"/>
      <c r="AD40" s="912"/>
      <c r="AE40" s="912"/>
    </row>
    <row r="41" spans="1:31">
      <c r="A41" s="809" t="s">
        <v>113</v>
      </c>
      <c r="B41" s="936" t="s">
        <v>114</v>
      </c>
      <c r="C41" s="1110">
        <v>1082</v>
      </c>
      <c r="D41" s="883"/>
      <c r="E41" s="1110">
        <v>1323</v>
      </c>
      <c r="F41" s="634"/>
      <c r="G41" s="1520">
        <v>1308.2</v>
      </c>
      <c r="H41" s="634"/>
      <c r="I41" s="3825">
        <f t="shared" si="3"/>
        <v>226.2</v>
      </c>
      <c r="J41" s="936"/>
      <c r="K41" s="1511">
        <f>+G41-E41</f>
        <v>-14.799999999999955</v>
      </c>
      <c r="L41" s="934"/>
      <c r="M41" s="931"/>
      <c r="N41" s="934"/>
      <c r="O41" s="931"/>
      <c r="P41" s="931"/>
      <c r="Q41" s="931"/>
      <c r="R41" s="934"/>
      <c r="S41" s="935"/>
      <c r="T41" s="912"/>
      <c r="U41" s="935"/>
      <c r="V41" s="912"/>
      <c r="W41" s="935"/>
      <c r="X41" s="936"/>
      <c r="Y41" s="912"/>
      <c r="Z41" s="912"/>
      <c r="AA41" s="912"/>
      <c r="AB41" s="912"/>
      <c r="AC41" s="912"/>
      <c r="AD41" s="912"/>
      <c r="AE41" s="912"/>
    </row>
    <row r="42" spans="1:31">
      <c r="A42" s="809" t="s">
        <v>115</v>
      </c>
      <c r="B42" s="936" t="s">
        <v>14</v>
      </c>
      <c r="C42" s="1110">
        <v>855</v>
      </c>
      <c r="D42" s="883"/>
      <c r="E42" s="1110">
        <v>912</v>
      </c>
      <c r="F42" s="634"/>
      <c r="G42" s="674">
        <v>674.4</v>
      </c>
      <c r="H42" s="634"/>
      <c r="I42" s="3825">
        <f t="shared" si="3"/>
        <v>-180.6</v>
      </c>
      <c r="J42" s="936"/>
      <c r="K42" s="1511">
        <f>+G42-E42</f>
        <v>-237.60000000000002</v>
      </c>
      <c r="L42" s="962"/>
      <c r="M42" s="931"/>
      <c r="N42" s="932"/>
      <c r="O42" s="931"/>
      <c r="P42" s="931"/>
      <c r="Q42" s="931"/>
      <c r="R42" s="934"/>
      <c r="S42" s="935"/>
      <c r="T42" s="912"/>
      <c r="U42" s="935"/>
      <c r="V42" s="912"/>
      <c r="W42" s="935"/>
      <c r="X42" s="936"/>
      <c r="Y42" s="912"/>
      <c r="Z42" s="912"/>
      <c r="AA42" s="912"/>
      <c r="AB42" s="912"/>
      <c r="AC42" s="912"/>
      <c r="AD42" s="912"/>
      <c r="AE42" s="912"/>
    </row>
    <row r="43" spans="1:31" ht="18" customHeight="1">
      <c r="A43" s="170" t="s">
        <v>116</v>
      </c>
      <c r="B43" s="148" t="s">
        <v>14</v>
      </c>
      <c r="C43" s="1854">
        <f>ROUND(SUM(C34:C42),1)</f>
        <v>67675</v>
      </c>
      <c r="D43" s="109"/>
      <c r="E43" s="1854">
        <f>ROUND(SUM(E34:E42),1)</f>
        <v>66090</v>
      </c>
      <c r="F43" s="910"/>
      <c r="G43" s="212">
        <f>ROUND(SUM(G34:G42),1)</f>
        <v>65408</v>
      </c>
      <c r="H43" s="910"/>
      <c r="I43" s="291">
        <f>ROUND(SUM(I34:I42),1)</f>
        <v>-2267</v>
      </c>
      <c r="J43" s="148"/>
      <c r="K43" s="291">
        <f>ROUND(SUM(K34:K42),1)</f>
        <v>-682</v>
      </c>
      <c r="L43" s="73"/>
      <c r="M43" s="73"/>
      <c r="N43" s="73"/>
      <c r="O43" s="73"/>
      <c r="P43" s="73"/>
      <c r="Q43" s="73"/>
      <c r="R43" s="73"/>
      <c r="S43" s="148"/>
      <c r="T43" s="148"/>
      <c r="U43" s="148"/>
      <c r="V43" s="148"/>
      <c r="W43" s="148"/>
      <c r="X43" s="148"/>
      <c r="Y43" s="148"/>
      <c r="Z43" s="148"/>
      <c r="AA43" s="148"/>
      <c r="AB43" s="148"/>
      <c r="AC43" s="148"/>
      <c r="AD43" s="148"/>
      <c r="AE43" s="148"/>
    </row>
    <row r="44" spans="1:31">
      <c r="A44" s="679"/>
      <c r="B44" s="912"/>
      <c r="C44" s="1855"/>
      <c r="D44" s="883"/>
      <c r="E44" s="1855"/>
      <c r="F44" s="634"/>
      <c r="G44" s="677"/>
      <c r="H44" s="634"/>
      <c r="I44" s="931"/>
      <c r="J44" s="912"/>
      <c r="K44" s="931"/>
      <c r="L44" s="931"/>
      <c r="M44" s="931"/>
      <c r="N44" s="931"/>
      <c r="O44" s="931"/>
      <c r="P44" s="931"/>
      <c r="Q44" s="931"/>
      <c r="R44" s="931"/>
      <c r="S44" s="912"/>
      <c r="T44" s="912"/>
      <c r="U44" s="912"/>
      <c r="V44" s="912"/>
      <c r="W44" s="912"/>
      <c r="X44" s="912"/>
      <c r="Y44" s="912"/>
      <c r="Z44" s="912"/>
      <c r="AA44" s="912"/>
      <c r="AB44" s="912"/>
      <c r="AC44" s="912"/>
      <c r="AD44" s="912"/>
      <c r="AE44" s="912"/>
    </row>
    <row r="45" spans="1:31" ht="15.6">
      <c r="A45" s="26" t="s">
        <v>117</v>
      </c>
      <c r="B45" s="912"/>
      <c r="C45" s="883"/>
      <c r="D45" s="883"/>
      <c r="E45" s="883"/>
      <c r="F45" s="634"/>
      <c r="G45" s="634"/>
      <c r="H45" s="634"/>
      <c r="I45" s="634"/>
      <c r="J45" s="912"/>
      <c r="K45" s="931"/>
      <c r="L45" s="931"/>
      <c r="M45" s="931"/>
      <c r="N45" s="931"/>
      <c r="O45" s="931"/>
      <c r="P45" s="931"/>
      <c r="Q45" s="931"/>
      <c r="R45" s="931"/>
      <c r="S45" s="912"/>
      <c r="T45" s="912"/>
      <c r="U45" s="912"/>
      <c r="V45" s="912"/>
      <c r="W45" s="912"/>
      <c r="X45" s="912"/>
      <c r="Y45" s="912"/>
      <c r="Z45" s="912"/>
      <c r="AA45" s="912"/>
      <c r="AB45" s="912"/>
      <c r="AC45" s="912"/>
      <c r="AD45" s="912"/>
      <c r="AE45" s="912"/>
    </row>
    <row r="46" spans="1:31" ht="15.6">
      <c r="A46" s="26" t="s">
        <v>118</v>
      </c>
      <c r="B46" s="912"/>
      <c r="C46" s="883"/>
      <c r="D46" s="883"/>
      <c r="E46" s="883"/>
      <c r="F46" s="634"/>
      <c r="G46" s="634"/>
      <c r="H46" s="634"/>
      <c r="I46" s="634"/>
      <c r="J46" s="912"/>
      <c r="K46" s="931"/>
      <c r="L46" s="931"/>
      <c r="M46" s="931"/>
      <c r="N46" s="931"/>
      <c r="O46" s="931"/>
      <c r="P46" s="931"/>
      <c r="Q46" s="931"/>
      <c r="R46" s="931"/>
      <c r="S46" s="912"/>
      <c r="T46" s="912"/>
      <c r="U46" s="912"/>
      <c r="V46" s="912"/>
      <c r="W46" s="912"/>
      <c r="X46" s="912"/>
      <c r="Y46" s="912"/>
      <c r="Z46" s="912"/>
      <c r="AA46" s="912"/>
      <c r="AB46" s="912"/>
      <c r="AC46" s="912"/>
      <c r="AD46" s="912"/>
      <c r="AE46" s="912"/>
    </row>
    <row r="47" spans="1:31" ht="15.6">
      <c r="A47" s="170" t="s">
        <v>101</v>
      </c>
      <c r="B47" s="909" t="s">
        <v>14</v>
      </c>
      <c r="C47" s="112">
        <f>ROUND(SUM(C31)-SUM(C43),1)</f>
        <v>2251</v>
      </c>
      <c r="D47" s="1093"/>
      <c r="E47" s="112">
        <f>ROUND(SUM(E31)-SUM(E43),1)</f>
        <v>22972</v>
      </c>
      <c r="F47" s="81"/>
      <c r="G47" s="73">
        <f>ROUND(SUM(G31)-SUM(G43),1)</f>
        <v>22846.7</v>
      </c>
      <c r="H47" s="81"/>
      <c r="I47" s="73">
        <f>ROUND(SUM(I31)-SUM(I43),1)</f>
        <v>20595.7</v>
      </c>
      <c r="J47" s="148"/>
      <c r="K47" s="1512">
        <f>ROUND(SUM(K31)-SUM(K43),1)</f>
        <v>-125.3</v>
      </c>
      <c r="L47" s="73"/>
      <c r="M47" s="389"/>
      <c r="N47" s="73"/>
      <c r="O47" s="389"/>
      <c r="P47" s="73"/>
      <c r="Q47" s="389"/>
      <c r="R47" s="73"/>
      <c r="S47" s="148"/>
      <c r="T47" s="171"/>
      <c r="U47" s="148"/>
      <c r="V47" s="171"/>
      <c r="W47" s="148"/>
      <c r="X47" s="148"/>
      <c r="Y47" s="171"/>
      <c r="Z47" s="148"/>
      <c r="AA47" s="148"/>
      <c r="AB47" s="171"/>
      <c r="AC47" s="148"/>
      <c r="AD47" s="171"/>
      <c r="AE47" s="148"/>
    </row>
    <row r="48" spans="1:31" ht="15" customHeight="1">
      <c r="C48" s="1469"/>
      <c r="D48" s="1630"/>
      <c r="E48" s="1469"/>
      <c r="F48" s="920"/>
      <c r="G48" s="660"/>
      <c r="H48" s="920"/>
      <c r="I48" s="73"/>
      <c r="J48" s="148"/>
      <c r="K48" s="73"/>
      <c r="L48" s="660"/>
      <c r="M48" s="660"/>
      <c r="N48" s="660"/>
      <c r="O48" s="660"/>
      <c r="P48" s="660"/>
      <c r="Q48" s="660"/>
      <c r="R48" s="660"/>
    </row>
    <row r="49" spans="1:18" ht="15.6">
      <c r="A49" s="966" t="str">
        <f>'Exh D-Governmental  '!A49</f>
        <v>Fund Balances (Deficits) at April 1</v>
      </c>
      <c r="B49" s="613" t="s">
        <v>14</v>
      </c>
      <c r="C49" s="112">
        <v>9161</v>
      </c>
      <c r="D49" s="1630"/>
      <c r="E49" s="112">
        <v>9161</v>
      </c>
      <c r="F49" s="920"/>
      <c r="G49" s="73">
        <f>'Exhibit F'!AC12</f>
        <v>9160.7999999999993</v>
      </c>
      <c r="H49" s="920"/>
      <c r="I49" s="3011">
        <f t="shared" ref="I49" si="4">ROUND(SUM(G49)-SUM(C49),1)</f>
        <v>-0.2</v>
      </c>
      <c r="J49" s="148"/>
      <c r="K49" s="910">
        <f>ROUND(SUM(G49)-SUM(E49),1)</f>
        <v>-0.2</v>
      </c>
      <c r="L49" s="73"/>
      <c r="M49" s="660"/>
      <c r="N49" s="73"/>
      <c r="O49" s="660"/>
      <c r="P49" s="78"/>
      <c r="Q49" s="660"/>
      <c r="R49" s="660"/>
    </row>
    <row r="50" spans="1:18" ht="18" customHeight="1" thickBot="1">
      <c r="A50" s="170" t="str">
        <f>'Exh D-Governmental  '!A50</f>
        <v>Fund Balances (Deficits) at January 31, 2022</v>
      </c>
      <c r="B50" s="177" t="s">
        <v>14</v>
      </c>
      <c r="C50" s="2037">
        <f>ROUND(SUM(C47:C49),1)</f>
        <v>11412</v>
      </c>
      <c r="D50" s="2038"/>
      <c r="E50" s="2037">
        <f>ROUND(SUM(E47:E49),1)</f>
        <v>32133</v>
      </c>
      <c r="F50" s="178"/>
      <c r="G50" s="95">
        <f>ROUND(SUM(G47:G49),1)</f>
        <v>32007.5</v>
      </c>
      <c r="H50" s="178"/>
      <c r="I50" s="95">
        <f>ROUND(SUM(I47:I49),1)</f>
        <v>20595.5</v>
      </c>
      <c r="J50" s="148"/>
      <c r="K50" s="95">
        <f>ROUND(SUM(K47:K49),1)</f>
        <v>-125.5</v>
      </c>
      <c r="L50" s="216"/>
      <c r="M50" s="963"/>
      <c r="N50" s="216"/>
      <c r="O50" s="963"/>
      <c r="P50" s="216"/>
    </row>
    <row r="51" spans="1:18" ht="15" customHeight="1" thickTop="1">
      <c r="A51" s="152"/>
      <c r="G51" s="613"/>
      <c r="J51" s="613"/>
      <c r="L51" s="678"/>
      <c r="M51" s="964"/>
      <c r="N51" s="964"/>
      <c r="O51" s="964"/>
      <c r="P51" s="964"/>
    </row>
    <row r="52" spans="1:18">
      <c r="A52" s="924" t="str">
        <f>'Exh D-Governmental  '!A52</f>
        <v>(*)    Source: 2021-22 Enacted Financial Plan dated May 25, 2021.</v>
      </c>
      <c r="M52" s="613"/>
      <c r="N52" s="613"/>
      <c r="O52" s="613"/>
      <c r="P52" s="613"/>
    </row>
    <row r="53" spans="1:18">
      <c r="A53" s="3866" t="str">
        <f>'Exh D-Governmental  '!A53</f>
        <v>(**)   Source: 2022-23 Executive Budget dated January 18, 2022.</v>
      </c>
      <c r="M53" s="613"/>
      <c r="N53" s="613"/>
      <c r="O53" s="613"/>
      <c r="P53" s="613"/>
    </row>
    <row r="54" spans="1:18">
      <c r="A54" s="3799" t="s">
        <v>1512</v>
      </c>
      <c r="M54" s="613"/>
      <c r="N54" s="613"/>
      <c r="O54" s="613"/>
      <c r="P54" s="613"/>
    </row>
    <row r="55" spans="1:18">
      <c r="A55" s="1482" t="s">
        <v>1210</v>
      </c>
      <c r="M55" s="613"/>
      <c r="N55" s="613"/>
      <c r="O55" s="613"/>
      <c r="P55" s="613"/>
    </row>
    <row r="56" spans="1:18">
      <c r="A56" s="1482" t="s">
        <v>14</v>
      </c>
      <c r="M56" s="613"/>
      <c r="N56" s="613"/>
      <c r="O56" s="613"/>
      <c r="P56" s="613"/>
    </row>
    <row r="57" spans="1:18">
      <c r="A57" s="938"/>
      <c r="M57" s="613"/>
      <c r="N57" s="613"/>
      <c r="O57" s="613"/>
      <c r="P57" s="613"/>
    </row>
    <row r="58" spans="1:18">
      <c r="M58" s="613"/>
      <c r="N58" s="613"/>
      <c r="O58" s="613"/>
      <c r="P58" s="613"/>
    </row>
    <row r="59" spans="1:18">
      <c r="A59" s="3008"/>
      <c r="C59" s="2127"/>
      <c r="M59" s="613"/>
      <c r="N59" s="613"/>
      <c r="O59" s="613"/>
      <c r="P59" s="613"/>
    </row>
    <row r="60" spans="1:18">
      <c r="A60" s="201"/>
    </row>
  </sheetData>
  <mergeCells count="2">
    <mergeCell ref="A5:E5"/>
    <mergeCell ref="C11:I11"/>
  </mergeCells>
  <printOptions horizontalCentered="1"/>
  <pageMargins left="0.5" right="0.75" top="0.75" bottom="0.75" header="0.5" footer="0.25"/>
  <pageSetup scale="59"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1640625" defaultRowHeight="15"/>
  <cols>
    <col min="1" max="1" width="50.08984375" style="919" customWidth="1"/>
    <col min="2" max="2" width="3.81640625" style="613" customWidth="1"/>
    <col min="3" max="3" width="16.81640625" style="613" customWidth="1"/>
    <col min="4" max="4" width="1.54296875" style="613" customWidth="1"/>
    <col min="5" max="5" width="16.453125" style="422" customWidth="1"/>
    <col min="6" max="6" width="3.08984375" style="923" customWidth="1"/>
    <col min="7" max="7" width="14.08984375" style="923" customWidth="1"/>
    <col min="8" max="8" width="2.08984375" style="923" customWidth="1"/>
    <col min="9" max="9" width="14.08984375" style="923" customWidth="1"/>
    <col min="10" max="10" width="1.08984375" style="923" customWidth="1"/>
    <col min="11" max="11" width="14.08984375" style="923" customWidth="1"/>
    <col min="12" max="12" width="1.08984375" style="923" customWidth="1"/>
    <col min="13" max="13" width="16.08984375" style="923" customWidth="1"/>
    <col min="14" max="14" width="1.54296875" style="613" customWidth="1"/>
    <col min="15" max="15" width="12.54296875" style="613" customWidth="1"/>
    <col min="16" max="16" width="11.453125" style="613" customWidth="1"/>
    <col min="17" max="17" width="1.81640625" style="613" customWidth="1"/>
    <col min="18" max="18" width="11.81640625" style="613" customWidth="1"/>
    <col min="19" max="19" width="2.08984375" style="613" customWidth="1"/>
    <col min="20" max="20" width="11.453125" style="613" customWidth="1"/>
    <col min="21" max="21" width="0.54296875" style="613" customWidth="1"/>
    <col min="22" max="22" width="2.08984375" style="613" customWidth="1"/>
    <col min="23" max="23" width="10.54296875" style="613" customWidth="1"/>
    <col min="24" max="24" width="11.08984375" style="613" customWidth="1"/>
    <col min="25" max="25" width="2.08984375" style="613" customWidth="1"/>
    <col min="26" max="26" width="11.08984375" style="613" customWidth="1"/>
    <col min="27" max="27" width="2.08984375" style="613" customWidth="1"/>
    <col min="28" max="28" width="12.453125" style="613" customWidth="1"/>
    <col min="29" max="33" width="8.81640625" style="613"/>
    <col min="34" max="34" width="8.81640625" style="923"/>
    <col min="35" max="16384" width="8.81640625" style="919"/>
  </cols>
  <sheetData>
    <row r="1" spans="1:28">
      <c r="A1" s="635" t="s">
        <v>881</v>
      </c>
      <c r="B1" s="183"/>
      <c r="C1" s="183"/>
      <c r="D1" s="183"/>
      <c r="E1" s="416"/>
      <c r="F1" s="184"/>
      <c r="G1" s="184"/>
      <c r="H1" s="184"/>
      <c r="I1" s="184"/>
      <c r="J1" s="184"/>
      <c r="K1" s="184"/>
      <c r="L1" s="184"/>
      <c r="M1" s="184"/>
      <c r="N1" s="184"/>
      <c r="O1" s="183"/>
      <c r="P1" s="183"/>
      <c r="Q1" s="183"/>
      <c r="R1" s="183"/>
      <c r="S1" s="183"/>
      <c r="T1" s="183"/>
      <c r="U1" s="183"/>
      <c r="V1" s="183"/>
      <c r="W1" s="183"/>
      <c r="X1" s="183"/>
      <c r="Y1" s="183"/>
      <c r="Z1" s="183"/>
      <c r="AA1" s="183"/>
      <c r="AB1" s="183"/>
    </row>
    <row r="2" spans="1:28" ht="17.25" customHeight="1">
      <c r="A2" s="185"/>
      <c r="B2" s="183"/>
      <c r="C2" s="183"/>
      <c r="D2" s="183"/>
      <c r="E2" s="416"/>
      <c r="F2" s="184"/>
      <c r="G2" s="187"/>
      <c r="H2" s="187"/>
      <c r="I2" s="187"/>
      <c r="J2" s="187"/>
      <c r="K2" s="187"/>
      <c r="L2" s="184"/>
      <c r="M2" s="184"/>
      <c r="N2" s="184"/>
      <c r="O2" s="183"/>
      <c r="P2" s="183"/>
      <c r="Q2" s="183"/>
      <c r="R2" s="183"/>
      <c r="S2" s="183"/>
      <c r="T2" s="183"/>
      <c r="U2" s="183"/>
      <c r="V2" s="183"/>
      <c r="W2" s="183"/>
      <c r="X2" s="183"/>
      <c r="Y2" s="183"/>
      <c r="Z2" s="183"/>
      <c r="AA2" s="183"/>
      <c r="AB2" s="183"/>
    </row>
    <row r="3" spans="1:28" ht="18" customHeight="1">
      <c r="A3" s="188" t="s">
        <v>0</v>
      </c>
      <c r="B3" s="153"/>
      <c r="C3" s="153"/>
      <c r="D3" s="153"/>
      <c r="E3" s="419"/>
      <c r="F3" s="140"/>
      <c r="G3" s="140"/>
      <c r="H3" s="140"/>
      <c r="I3" s="140"/>
      <c r="J3" s="140"/>
      <c r="K3" s="140"/>
      <c r="L3" s="140"/>
      <c r="M3" s="810"/>
      <c r="N3" s="140"/>
      <c r="O3" s="810" t="s">
        <v>82</v>
      </c>
      <c r="P3" s="153"/>
      <c r="Q3" s="153"/>
      <c r="R3" s="153"/>
      <c r="S3" s="153"/>
      <c r="T3" s="153"/>
      <c r="U3" s="153"/>
      <c r="V3" s="153"/>
      <c r="W3" s="153"/>
      <c r="X3" s="153"/>
      <c r="Y3" s="153"/>
      <c r="Z3" s="153"/>
      <c r="AA3" s="153"/>
      <c r="AB3" s="189"/>
    </row>
    <row r="4" spans="1:28" ht="18" customHeight="1">
      <c r="A4" s="188" t="s">
        <v>81</v>
      </c>
      <c r="B4" s="153"/>
      <c r="C4" s="153"/>
      <c r="D4" s="153"/>
      <c r="E4" s="419"/>
      <c r="F4" s="140"/>
      <c r="G4" s="140"/>
      <c r="H4" s="140"/>
      <c r="I4" s="140"/>
      <c r="J4" s="140"/>
      <c r="K4" s="140"/>
      <c r="L4" s="140"/>
      <c r="M4" s="811"/>
      <c r="N4" s="140"/>
      <c r="O4" s="811"/>
      <c r="P4" s="153"/>
      <c r="Q4" s="153"/>
      <c r="R4" s="153"/>
      <c r="S4" s="153"/>
      <c r="T4" s="153"/>
      <c r="U4" s="153"/>
      <c r="V4" s="153"/>
      <c r="W4" s="153"/>
      <c r="X4" s="153"/>
      <c r="Y4" s="153"/>
      <c r="Z4" s="153"/>
      <c r="AA4" s="153"/>
      <c r="AB4" s="153"/>
    </row>
    <row r="5" spans="1:28" ht="18" customHeight="1">
      <c r="A5" s="3966" t="str">
        <f>'Exh D-Governmental  '!A5:E5</f>
        <v>FISCAL YEAR 2021-2022</v>
      </c>
      <c r="B5" s="3967"/>
      <c r="C5" s="3967"/>
      <c r="D5" s="3967"/>
      <c r="E5" s="3967"/>
      <c r="F5" s="140"/>
      <c r="G5" s="140"/>
      <c r="H5" s="140"/>
      <c r="I5" s="140"/>
      <c r="J5" s="140"/>
      <c r="K5" s="140"/>
      <c r="L5" s="140"/>
      <c r="M5" s="140"/>
      <c r="N5" s="140"/>
      <c r="O5" s="153"/>
      <c r="P5" s="153"/>
      <c r="Q5" s="153"/>
      <c r="R5" s="153"/>
      <c r="S5" s="153"/>
      <c r="T5" s="153"/>
      <c r="U5" s="153"/>
      <c r="V5" s="153"/>
      <c r="W5" s="153"/>
      <c r="X5" s="153"/>
      <c r="Y5" s="153"/>
      <c r="Z5" s="153"/>
      <c r="AA5" s="153"/>
      <c r="AB5" s="153"/>
    </row>
    <row r="6" spans="1:28" ht="18" customHeight="1">
      <c r="A6" s="1457" t="str">
        <f>+'Exh D-Governmental  '!A6</f>
        <v xml:space="preserve">FOR TEN MONTHS ENDED JANUARY 31, 2022    </v>
      </c>
      <c r="B6" s="153"/>
      <c r="C6" s="153"/>
      <c r="D6" s="153"/>
      <c r="E6" s="419"/>
      <c r="F6" s="140"/>
      <c r="G6" s="140"/>
      <c r="H6" s="140"/>
      <c r="I6" s="140"/>
      <c r="J6" s="140"/>
      <c r="K6" s="140"/>
      <c r="L6" s="140"/>
      <c r="M6" s="140"/>
      <c r="N6" s="140"/>
      <c r="O6" s="153"/>
      <c r="P6" s="153"/>
      <c r="Q6" s="153"/>
      <c r="R6" s="153"/>
      <c r="S6" s="153"/>
      <c r="T6" s="153"/>
      <c r="U6" s="153"/>
      <c r="V6" s="153"/>
      <c r="W6" s="153"/>
      <c r="X6" s="153"/>
      <c r="Y6" s="153"/>
      <c r="Z6" s="153"/>
      <c r="AA6" s="153"/>
      <c r="AB6" s="153"/>
    </row>
    <row r="7" spans="1:28" ht="18" customHeight="1">
      <c r="A7" s="188" t="s">
        <v>1264</v>
      </c>
      <c r="B7" s="153"/>
      <c r="C7" s="153"/>
      <c r="D7" s="153"/>
      <c r="E7" s="419"/>
      <c r="F7" s="140"/>
      <c r="G7" s="140"/>
      <c r="H7" s="140"/>
      <c r="I7" s="140"/>
      <c r="J7" s="140"/>
      <c r="K7" s="140"/>
      <c r="L7" s="140"/>
      <c r="M7" s="140"/>
      <c r="N7" s="140"/>
      <c r="O7" s="153"/>
      <c r="P7" s="153"/>
      <c r="Q7" s="153"/>
      <c r="R7" s="153"/>
      <c r="S7" s="153"/>
      <c r="T7" s="153"/>
      <c r="U7" s="153"/>
      <c r="V7" s="153"/>
      <c r="W7" s="153"/>
      <c r="X7" s="153"/>
      <c r="Y7" s="153"/>
      <c r="Z7" s="153"/>
      <c r="AA7" s="153"/>
      <c r="AB7" s="153"/>
    </row>
    <row r="8" spans="1:28" ht="15" customHeight="1">
      <c r="A8" s="190"/>
      <c r="B8" s="153"/>
      <c r="C8" s="153"/>
      <c r="D8" s="153"/>
      <c r="E8" s="419"/>
      <c r="F8" s="140"/>
      <c r="G8" s="140"/>
      <c r="H8" s="140"/>
      <c r="I8" s="140"/>
      <c r="J8" s="140"/>
      <c r="K8" s="140"/>
      <c r="L8" s="140"/>
      <c r="M8" s="140"/>
      <c r="N8" s="140"/>
      <c r="O8" s="153"/>
      <c r="P8" s="153"/>
      <c r="Q8" s="153"/>
      <c r="R8" s="153"/>
      <c r="S8" s="153"/>
      <c r="T8" s="153"/>
      <c r="U8" s="153"/>
      <c r="V8" s="153"/>
      <c r="W8" s="153"/>
      <c r="X8" s="153"/>
      <c r="Y8" s="153"/>
      <c r="Z8" s="153"/>
      <c r="AA8" s="153"/>
      <c r="AB8" s="153"/>
    </row>
    <row r="9" spans="1:28">
      <c r="A9" s="147"/>
      <c r="B9" s="153"/>
      <c r="C9" s="153"/>
      <c r="D9" s="153"/>
      <c r="E9" s="419"/>
      <c r="F9" s="140"/>
      <c r="G9" s="140"/>
      <c r="H9" s="140"/>
      <c r="I9" s="140"/>
      <c r="J9" s="140"/>
      <c r="K9" s="140"/>
      <c r="L9" s="140"/>
      <c r="M9" s="140"/>
      <c r="N9" s="140"/>
      <c r="O9" s="153"/>
      <c r="P9" s="153"/>
      <c r="Q9" s="153"/>
      <c r="R9" s="153"/>
      <c r="S9" s="153"/>
      <c r="T9" s="153"/>
      <c r="U9" s="153"/>
      <c r="V9" s="153"/>
      <c r="W9" s="153"/>
      <c r="X9" s="153"/>
      <c r="Y9" s="153"/>
      <c r="Z9" s="153"/>
      <c r="AA9" s="153"/>
      <c r="AB9" s="153"/>
    </row>
    <row r="10" spans="1:28">
      <c r="A10" s="147"/>
      <c r="B10" s="153"/>
      <c r="C10" s="153"/>
      <c r="D10" s="153"/>
      <c r="E10" s="418"/>
      <c r="F10" s="145"/>
      <c r="G10" s="145"/>
      <c r="H10" s="145"/>
      <c r="I10" s="145"/>
      <c r="J10" s="145"/>
      <c r="K10" s="145"/>
      <c r="L10" s="145"/>
      <c r="M10" s="145"/>
      <c r="N10" s="140"/>
      <c r="O10" s="153"/>
      <c r="P10" s="153"/>
      <c r="Q10" s="153"/>
      <c r="R10" s="153"/>
      <c r="S10" s="153"/>
      <c r="T10" s="153"/>
      <c r="U10" s="153"/>
      <c r="V10" s="153"/>
      <c r="W10" s="153"/>
      <c r="X10" s="153"/>
      <c r="Y10" s="153"/>
      <c r="Z10" s="153"/>
      <c r="AA10" s="153"/>
      <c r="AB10" s="153"/>
    </row>
    <row r="11" spans="1:28" ht="15.6">
      <c r="A11" s="679"/>
      <c r="C11" s="1164"/>
      <c r="D11" s="1164"/>
      <c r="E11" s="1186"/>
      <c r="F11" s="1166"/>
      <c r="G11" s="1403" t="s">
        <v>1039</v>
      </c>
      <c r="H11" s="1616"/>
      <c r="I11" s="1403"/>
      <c r="J11" s="1616"/>
      <c r="K11" s="1616"/>
      <c r="L11" s="1166"/>
      <c r="M11" s="1166"/>
      <c r="N11" s="1169"/>
      <c r="O11" s="1163"/>
      <c r="P11" s="191"/>
      <c r="Q11" s="191"/>
      <c r="R11" s="191"/>
      <c r="S11" s="191"/>
      <c r="T11" s="191"/>
      <c r="U11" s="191"/>
      <c r="V11" s="148"/>
      <c r="W11" s="191"/>
      <c r="X11" s="192"/>
      <c r="Y11" s="191"/>
      <c r="Z11" s="191"/>
      <c r="AA11" s="191"/>
      <c r="AB11" s="191"/>
    </row>
    <row r="12" spans="1:28" ht="15.6">
      <c r="A12" s="679"/>
      <c r="E12" s="423"/>
      <c r="F12" s="193"/>
      <c r="G12" s="194"/>
      <c r="H12" s="194"/>
      <c r="I12" s="194"/>
      <c r="J12" s="194"/>
      <c r="K12" s="194"/>
      <c r="L12" s="193"/>
      <c r="M12" s="193" t="s">
        <v>83</v>
      </c>
      <c r="N12" s="148"/>
      <c r="O12" s="193" t="s">
        <v>83</v>
      </c>
      <c r="P12" s="191"/>
      <c r="Q12" s="191"/>
      <c r="R12" s="191"/>
      <c r="S12" s="191"/>
      <c r="T12" s="191"/>
      <c r="U12" s="191"/>
      <c r="V12" s="148"/>
      <c r="W12" s="191"/>
      <c r="X12" s="192"/>
      <c r="Y12" s="191"/>
      <c r="Z12" s="191"/>
      <c r="AA12" s="191"/>
      <c r="AB12" s="191"/>
    </row>
    <row r="13" spans="1:28" ht="15.6">
      <c r="A13" s="679"/>
      <c r="E13" s="423"/>
      <c r="F13" s="193"/>
      <c r="G13" s="194"/>
      <c r="H13" s="194"/>
      <c r="I13" s="194"/>
      <c r="J13" s="194"/>
      <c r="K13" s="194"/>
      <c r="L13" s="193"/>
      <c r="M13" s="196" t="s">
        <v>795</v>
      </c>
      <c r="N13" s="148"/>
      <c r="O13" s="196" t="s">
        <v>795</v>
      </c>
      <c r="P13" s="191"/>
      <c r="Q13" s="191"/>
      <c r="R13" s="191"/>
      <c r="S13" s="191"/>
      <c r="T13" s="191"/>
      <c r="U13" s="191"/>
      <c r="V13" s="148"/>
      <c r="W13" s="191"/>
      <c r="X13" s="192"/>
      <c r="Y13" s="191"/>
      <c r="Z13" s="191"/>
      <c r="AA13" s="191"/>
      <c r="AB13" s="191"/>
    </row>
    <row r="14" spans="1:28" ht="15.6">
      <c r="A14" s="679"/>
      <c r="B14" s="148"/>
      <c r="C14" s="151" t="s">
        <v>988</v>
      </c>
      <c r="D14" s="148"/>
      <c r="E14" s="150" t="s">
        <v>989</v>
      </c>
      <c r="F14" s="195"/>
      <c r="G14" s="195"/>
      <c r="H14" s="195"/>
      <c r="I14" s="195"/>
      <c r="J14" s="195"/>
      <c r="K14" s="195"/>
      <c r="L14" s="195"/>
      <c r="M14" s="150" t="s">
        <v>84</v>
      </c>
      <c r="N14" s="148"/>
      <c r="O14" s="150" t="s">
        <v>84</v>
      </c>
      <c r="P14" s="148"/>
      <c r="Q14" s="148"/>
      <c r="R14" s="148"/>
      <c r="S14" s="148"/>
      <c r="T14" s="197"/>
      <c r="U14" s="198"/>
      <c r="V14" s="148"/>
      <c r="W14" s="148"/>
      <c r="X14" s="148"/>
      <c r="Y14" s="148"/>
      <c r="Z14" s="148"/>
      <c r="AA14" s="148"/>
      <c r="AB14" s="197"/>
    </row>
    <row r="15" spans="1:28" ht="15.6">
      <c r="A15" s="679"/>
      <c r="B15" s="199"/>
      <c r="C15" s="150" t="s">
        <v>1024</v>
      </c>
      <c r="D15" s="199"/>
      <c r="E15" s="150" t="s">
        <v>1024</v>
      </c>
      <c r="F15" s="149"/>
      <c r="G15" s="149"/>
      <c r="H15" s="149"/>
      <c r="I15" s="149"/>
      <c r="J15" s="149"/>
      <c r="K15" s="149"/>
      <c r="L15" s="149"/>
      <c r="M15" s="150" t="s">
        <v>988</v>
      </c>
      <c r="N15" s="148"/>
      <c r="O15" s="150" t="s">
        <v>989</v>
      </c>
      <c r="P15" s="198"/>
      <c r="Q15" s="148"/>
      <c r="R15" s="148"/>
      <c r="S15" s="148"/>
      <c r="T15" s="197"/>
      <c r="U15" s="198"/>
      <c r="V15" s="148"/>
      <c r="W15" s="197"/>
      <c r="X15" s="198"/>
      <c r="Y15" s="148"/>
      <c r="Z15" s="148"/>
      <c r="AA15" s="148"/>
      <c r="AB15" s="197"/>
    </row>
    <row r="16" spans="1:28" ht="15.6">
      <c r="A16" s="679"/>
      <c r="B16" s="198"/>
      <c r="C16" s="1168" t="s">
        <v>1025</v>
      </c>
      <c r="D16" s="198"/>
      <c r="E16" s="196" t="s">
        <v>1511</v>
      </c>
      <c r="F16" s="149"/>
      <c r="G16" s="151" t="s">
        <v>83</v>
      </c>
      <c r="H16" s="151"/>
      <c r="I16" s="1618" t="s">
        <v>1157</v>
      </c>
      <c r="J16" s="151"/>
      <c r="K16" s="1618" t="s">
        <v>721</v>
      </c>
      <c r="L16" s="149"/>
      <c r="M16" s="150" t="s">
        <v>85</v>
      </c>
      <c r="N16" s="148"/>
      <c r="O16" s="1168" t="s">
        <v>85</v>
      </c>
      <c r="P16" s="198"/>
      <c r="Q16" s="148"/>
      <c r="R16" s="197"/>
      <c r="S16" s="148"/>
      <c r="T16" s="197"/>
      <c r="U16" s="198"/>
      <c r="V16" s="148"/>
      <c r="W16" s="198"/>
      <c r="X16" s="198"/>
      <c r="Y16" s="148"/>
      <c r="Z16" s="197"/>
      <c r="AA16" s="148"/>
      <c r="AB16" s="197"/>
    </row>
    <row r="17" spans="1:28">
      <c r="A17" s="152"/>
      <c r="B17" s="153"/>
      <c r="C17" s="153"/>
      <c r="D17" s="153"/>
      <c r="E17" s="154"/>
      <c r="F17" s="140"/>
      <c r="G17" s="154"/>
      <c r="H17" s="153"/>
      <c r="I17" s="153"/>
      <c r="J17" s="153"/>
      <c r="K17" s="153"/>
      <c r="L17" s="140"/>
      <c r="M17" s="154"/>
      <c r="N17" s="153"/>
      <c r="O17" s="153"/>
      <c r="P17" s="153"/>
      <c r="Q17" s="153"/>
      <c r="R17" s="153"/>
      <c r="S17" s="153"/>
      <c r="T17" s="153"/>
      <c r="U17" s="153"/>
      <c r="V17" s="153"/>
      <c r="W17" s="153"/>
      <c r="X17" s="153"/>
      <c r="Y17" s="153"/>
      <c r="Z17" s="153"/>
      <c r="AA17" s="153"/>
      <c r="AB17" s="153"/>
    </row>
    <row r="18" spans="1:28" ht="15.6">
      <c r="A18" s="26" t="s">
        <v>13</v>
      </c>
      <c r="B18" s="912"/>
      <c r="C18" s="912"/>
      <c r="D18" s="912"/>
      <c r="E18" s="648"/>
      <c r="F18" s="648"/>
      <c r="G18" s="648"/>
      <c r="H18" s="648"/>
      <c r="I18" s="648"/>
      <c r="J18" s="648"/>
      <c r="K18" s="648"/>
      <c r="L18" s="648"/>
      <c r="M18" s="648"/>
      <c r="N18" s="912"/>
      <c r="O18" s="912"/>
      <c r="P18" s="912"/>
      <c r="Q18" s="912"/>
      <c r="R18" s="912"/>
      <c r="S18" s="912"/>
      <c r="T18" s="912"/>
      <c r="U18" s="912"/>
      <c r="V18" s="912"/>
      <c r="W18" s="912"/>
      <c r="X18" s="912"/>
      <c r="Y18" s="912"/>
      <c r="Z18" s="912"/>
      <c r="AA18" s="912"/>
      <c r="AB18" s="912"/>
    </row>
    <row r="19" spans="1:28">
      <c r="A19" s="809" t="s">
        <v>86</v>
      </c>
      <c r="B19" s="913"/>
      <c r="C19" s="913"/>
      <c r="D19" s="913"/>
      <c r="E19" s="648"/>
      <c r="F19" s="648"/>
      <c r="G19" s="648"/>
      <c r="H19" s="648"/>
      <c r="I19" s="648"/>
      <c r="J19" s="648"/>
      <c r="K19" s="648"/>
      <c r="L19" s="913"/>
      <c r="M19" s="648"/>
      <c r="N19" s="912"/>
      <c r="O19" s="1523"/>
      <c r="P19" s="912"/>
      <c r="Q19" s="912"/>
      <c r="R19" s="912"/>
      <c r="S19" s="912"/>
      <c r="T19" s="912"/>
      <c r="U19" s="912"/>
      <c r="V19" s="912"/>
      <c r="W19" s="912"/>
      <c r="X19" s="912"/>
      <c r="Y19" s="912"/>
      <c r="Z19" s="912"/>
      <c r="AA19" s="912"/>
      <c r="AB19" s="912"/>
    </row>
    <row r="20" spans="1:28">
      <c r="A20" s="809" t="s">
        <v>87</v>
      </c>
      <c r="B20" s="913"/>
      <c r="C20" s="1000">
        <f>'Exh D Special Revenue State Fed'!C20+'Exh D Special Revenue State Fed'!N20</f>
        <v>1970</v>
      </c>
      <c r="D20" s="1915"/>
      <c r="E20" s="1000">
        <f>'Exh D Special Revenue State Fed'!E20+'Exh D Special Revenue State Fed'!P20</f>
        <v>1866</v>
      </c>
      <c r="F20" s="651"/>
      <c r="G20" s="929">
        <f>+'Exh D Special Revenue State Fed'!G20</f>
        <v>1866.1</v>
      </c>
      <c r="H20" s="929"/>
      <c r="I20" s="929">
        <v>0</v>
      </c>
      <c r="J20" s="929"/>
      <c r="K20" s="929">
        <f t="shared" ref="K20:K25" si="0">+G20+I20</f>
        <v>1866.1</v>
      </c>
      <c r="L20" s="651"/>
      <c r="M20" s="649">
        <f>ROUND(SUM(K20)-SUM(C20),1)</f>
        <v>-103.9</v>
      </c>
      <c r="N20" s="912"/>
      <c r="O20" s="649">
        <f>K20-E20</f>
        <v>9.9999999999909051E-2</v>
      </c>
      <c r="P20" s="912"/>
      <c r="Q20" s="912"/>
      <c r="R20" s="912"/>
      <c r="S20" s="912"/>
      <c r="T20" s="912"/>
      <c r="U20" s="912"/>
      <c r="V20" s="912"/>
      <c r="W20" s="912"/>
      <c r="X20" s="912"/>
      <c r="Y20" s="912"/>
      <c r="Z20" s="912"/>
      <c r="AA20" s="912"/>
      <c r="AB20" s="912"/>
    </row>
    <row r="21" spans="1:28">
      <c r="A21" s="809" t="s">
        <v>88</v>
      </c>
      <c r="B21" s="912"/>
      <c r="C21" s="674">
        <f>'Exh D Special Revenue State Fed'!C21+'Exh D Special Revenue State Fed'!N21</f>
        <v>1579</v>
      </c>
      <c r="D21" s="1916"/>
      <c r="E21" s="674">
        <f>'Exh D Special Revenue State Fed'!E21+'Exh D Special Revenue State Fed'!P21</f>
        <v>1693</v>
      </c>
      <c r="F21" s="634"/>
      <c r="G21" s="634">
        <f>+'Exh D Special Revenue State Fed'!G21</f>
        <v>1680.2</v>
      </c>
      <c r="H21" s="1511"/>
      <c r="I21" s="1511">
        <v>0</v>
      </c>
      <c r="J21" s="1511"/>
      <c r="K21" s="1511">
        <f t="shared" si="0"/>
        <v>1680.2</v>
      </c>
      <c r="L21" s="634"/>
      <c r="M21" s="1511">
        <f t="shared" ref="M21:M25" si="1">ROUND(SUM(K21)-SUM(C21),1)</f>
        <v>101.2</v>
      </c>
      <c r="N21" s="931"/>
      <c r="O21" s="1511">
        <f>K21-E21</f>
        <v>-12.799999999999955</v>
      </c>
      <c r="P21" s="912"/>
      <c r="Q21" s="912"/>
      <c r="R21" s="912"/>
      <c r="S21" s="912"/>
      <c r="T21" s="912"/>
      <c r="U21" s="912"/>
      <c r="V21" s="912"/>
      <c r="W21" s="912"/>
      <c r="X21" s="912"/>
      <c r="Y21" s="912"/>
      <c r="Z21" s="912"/>
      <c r="AA21" s="912"/>
      <c r="AB21" s="912"/>
    </row>
    <row r="22" spans="1:28">
      <c r="A22" s="809" t="s">
        <v>89</v>
      </c>
      <c r="B22" s="913"/>
      <c r="C22" s="674">
        <f>'Exh D Special Revenue State Fed'!C22+'Exh D Special Revenue State Fed'!N22</f>
        <v>1513</v>
      </c>
      <c r="D22" s="1915"/>
      <c r="E22" s="674">
        <f>'Exh D Special Revenue State Fed'!E22+'Exh D Special Revenue State Fed'!P22</f>
        <v>1766</v>
      </c>
      <c r="F22" s="671"/>
      <c r="G22" s="634">
        <f>+'Exh D Special Revenue State Fed'!G22</f>
        <v>1755</v>
      </c>
      <c r="H22" s="1511"/>
      <c r="I22" s="1511">
        <v>0</v>
      </c>
      <c r="J22" s="1511"/>
      <c r="K22" s="1511">
        <f t="shared" si="0"/>
        <v>1755</v>
      </c>
      <c r="L22" s="671"/>
      <c r="M22" s="1511">
        <f t="shared" si="1"/>
        <v>242</v>
      </c>
      <c r="N22" s="932"/>
      <c r="O22" s="1511">
        <f t="shared" ref="O22:O25" si="2">K22-E22</f>
        <v>-11</v>
      </c>
      <c r="P22" s="912"/>
      <c r="Q22" s="933"/>
      <c r="R22" s="912"/>
      <c r="S22" s="933"/>
      <c r="T22" s="912"/>
      <c r="U22" s="912"/>
      <c r="V22" s="933"/>
      <c r="W22" s="912"/>
      <c r="X22" s="912"/>
      <c r="Y22" s="933"/>
      <c r="Z22" s="200"/>
      <c r="AA22" s="933"/>
      <c r="AB22" s="912"/>
    </row>
    <row r="23" spans="1:28" ht="15" customHeight="1">
      <c r="A23" s="809" t="s">
        <v>19</v>
      </c>
      <c r="B23" s="912"/>
      <c r="C23" s="674">
        <f>'Exh D Special Revenue State Fed'!C23+'Exh D Special Revenue State Fed'!N23</f>
        <v>13749</v>
      </c>
      <c r="D23" s="1916"/>
      <c r="E23" s="674">
        <f>'Exh D Special Revenue State Fed'!E23+'Exh D Special Revenue State Fed'!P23</f>
        <v>16420</v>
      </c>
      <c r="F23" s="634"/>
      <c r="G23" s="634">
        <f>+'Exh D Special Revenue State Fed'!G23+'Exh D Special Revenue State Fed'!R23</f>
        <v>15627.5</v>
      </c>
      <c r="H23" s="1511"/>
      <c r="I23" s="1511">
        <v>0</v>
      </c>
      <c r="J23" s="1511"/>
      <c r="K23" s="1511">
        <f t="shared" si="0"/>
        <v>15627.5</v>
      </c>
      <c r="L23" s="634"/>
      <c r="M23" s="1511">
        <f t="shared" si="1"/>
        <v>1878.5</v>
      </c>
      <c r="N23" s="931"/>
      <c r="O23" s="1511">
        <f t="shared" si="2"/>
        <v>-792.5</v>
      </c>
      <c r="P23" s="912"/>
      <c r="Q23" s="912"/>
      <c r="R23" s="912"/>
      <c r="S23" s="912"/>
      <c r="T23" s="912"/>
      <c r="U23" s="912"/>
      <c r="V23" s="912"/>
      <c r="W23" s="912"/>
      <c r="X23" s="912"/>
      <c r="Y23" s="912"/>
      <c r="Z23" s="912"/>
      <c r="AA23" s="912"/>
      <c r="AB23" s="912"/>
    </row>
    <row r="24" spans="1:28" ht="15" customHeight="1">
      <c r="A24" s="809" t="s">
        <v>20</v>
      </c>
      <c r="B24" s="912"/>
      <c r="C24" s="674">
        <f>'Exh D Special Revenue State Fed'!C24+'Exh D Special Revenue State Fed'!N24</f>
        <v>81520</v>
      </c>
      <c r="D24" s="1916"/>
      <c r="E24" s="674">
        <f>'Exh D Special Revenue State Fed'!E24+'Exh D Special Revenue State Fed'!P24</f>
        <v>81259</v>
      </c>
      <c r="F24" s="634"/>
      <c r="G24" s="634">
        <f>+'Exh D Special Revenue State Fed'!G24+'Exh D Special Revenue State Fed'!R24</f>
        <v>80056.700000000012</v>
      </c>
      <c r="H24" s="1511"/>
      <c r="I24" s="1511">
        <v>0</v>
      </c>
      <c r="J24" s="1511"/>
      <c r="K24" s="1511">
        <f t="shared" si="0"/>
        <v>80056.700000000012</v>
      </c>
      <c r="L24" s="634"/>
      <c r="M24" s="1511">
        <f t="shared" si="1"/>
        <v>-1463.3</v>
      </c>
      <c r="N24" s="931"/>
      <c r="O24" s="1511">
        <f t="shared" si="2"/>
        <v>-1202.2999999999884</v>
      </c>
      <c r="P24" s="935"/>
      <c r="Q24" s="912"/>
      <c r="R24" s="935"/>
      <c r="S24" s="912"/>
      <c r="T24" s="935"/>
      <c r="U24" s="936"/>
      <c r="V24" s="912"/>
      <c r="W24" s="912"/>
      <c r="X24" s="912"/>
      <c r="Y24" s="912"/>
      <c r="Z24" s="912"/>
      <c r="AA24" s="912"/>
      <c r="AB24" s="912"/>
    </row>
    <row r="25" spans="1:28">
      <c r="A25" s="809" t="s">
        <v>1517</v>
      </c>
      <c r="B25" s="935"/>
      <c r="C25" s="1694">
        <f>'Exh D Special Revenue State Fed'!C25+'Exh D Special Revenue State Fed'!N25</f>
        <v>2334</v>
      </c>
      <c r="D25" s="1917"/>
      <c r="E25" s="1694">
        <f>'Exh D Special Revenue State Fed'!E25+'Exh D Special Revenue State Fed'!P25</f>
        <v>2740</v>
      </c>
      <c r="F25" s="634"/>
      <c r="G25" s="916">
        <f>+'Exh D Special Revenue State Fed'!G25</f>
        <v>2743.2</v>
      </c>
      <c r="H25" s="932"/>
      <c r="I25" s="1467">
        <f>+'Exhibit G'!AB114</f>
        <v>-509.7</v>
      </c>
      <c r="J25" s="932"/>
      <c r="K25" s="917">
        <f t="shared" si="0"/>
        <v>2233.5</v>
      </c>
      <c r="L25" s="634"/>
      <c r="M25" s="1395">
        <f t="shared" si="1"/>
        <v>-100.5</v>
      </c>
      <c r="N25" s="931"/>
      <c r="O25" s="917">
        <f t="shared" si="2"/>
        <v>-506.5</v>
      </c>
      <c r="P25" s="935"/>
      <c r="Q25" s="912"/>
      <c r="R25" s="935"/>
      <c r="S25" s="912"/>
      <c r="T25" s="935"/>
      <c r="U25" s="936"/>
      <c r="V25" s="912"/>
      <c r="W25" s="912"/>
      <c r="X25" s="912"/>
      <c r="Y25" s="912"/>
      <c r="Z25" s="912"/>
      <c r="AA25" s="912"/>
      <c r="AB25" s="912"/>
    </row>
    <row r="26" spans="1:28" ht="18" customHeight="1">
      <c r="A26" s="1109" t="s">
        <v>107</v>
      </c>
      <c r="B26" s="148"/>
      <c r="C26" s="817">
        <f>ROUND(SUM(C20:C25),1)</f>
        <v>102665</v>
      </c>
      <c r="D26" s="148"/>
      <c r="E26" s="817">
        <f>ROUND(SUM(E20:E25),1)</f>
        <v>105744</v>
      </c>
      <c r="F26" s="910"/>
      <c r="G26" s="817">
        <f>ROUND(SUM(G20:G25),1)</f>
        <v>103728.7</v>
      </c>
      <c r="H26" s="1512"/>
      <c r="I26" s="817">
        <f>ROUND(SUM(I20:I25),1)</f>
        <v>-509.7</v>
      </c>
      <c r="J26" s="1512"/>
      <c r="K26" s="817">
        <f>ROUND(SUM(K20:K25),1)</f>
        <v>103219</v>
      </c>
      <c r="L26" s="910"/>
      <c r="M26" s="817">
        <f>ROUND(SUM(M20:M25),1)</f>
        <v>554</v>
      </c>
      <c r="N26" s="73"/>
      <c r="O26" s="71">
        <f>ROUND(SUM(O20:O25),1)</f>
        <v>-2525</v>
      </c>
      <c r="P26" s="148"/>
      <c r="Q26" s="148"/>
      <c r="R26" s="148"/>
      <c r="S26" s="148"/>
      <c r="T26" s="148"/>
      <c r="U26" s="148"/>
      <c r="V26" s="148"/>
      <c r="W26" s="148"/>
      <c r="X26" s="148"/>
      <c r="Y26" s="148"/>
      <c r="Z26" s="148"/>
      <c r="AA26" s="148"/>
      <c r="AB26" s="148"/>
    </row>
    <row r="27" spans="1:28">
      <c r="A27" s="679"/>
      <c r="B27" s="912"/>
      <c r="C27" s="931"/>
      <c r="D27" s="912"/>
      <c r="E27" s="931"/>
      <c r="F27" s="634"/>
      <c r="G27" s="677"/>
      <c r="H27" s="931"/>
      <c r="I27" s="931"/>
      <c r="J27" s="931"/>
      <c r="K27" s="931"/>
      <c r="L27" s="634"/>
      <c r="M27" s="677"/>
      <c r="N27" s="931"/>
      <c r="O27" s="677"/>
      <c r="P27" s="912"/>
      <c r="Q27" s="912"/>
      <c r="R27" s="912"/>
      <c r="S27" s="912"/>
      <c r="T27" s="912"/>
      <c r="U27" s="912"/>
      <c r="V27" s="912"/>
      <c r="W27" s="912"/>
      <c r="X27" s="912"/>
      <c r="Y27" s="912"/>
      <c r="Z27" s="912"/>
      <c r="AA27" s="912"/>
      <c r="AB27" s="912"/>
    </row>
    <row r="28" spans="1:28" ht="15.6">
      <c r="A28" s="26" t="s">
        <v>22</v>
      </c>
      <c r="B28" s="912"/>
      <c r="C28" s="931"/>
      <c r="D28" s="912"/>
      <c r="E28" s="931"/>
      <c r="F28" s="634"/>
      <c r="G28" s="634"/>
      <c r="H28" s="1511"/>
      <c r="I28" s="1511" t="s">
        <v>14</v>
      </c>
      <c r="J28" s="1511" t="s">
        <v>14</v>
      </c>
      <c r="K28" s="1511" t="s">
        <v>14</v>
      </c>
      <c r="L28" s="634"/>
      <c r="M28" s="634"/>
      <c r="N28" s="931"/>
      <c r="O28" s="1511"/>
      <c r="P28" s="912"/>
      <c r="Q28" s="912"/>
      <c r="R28" s="912"/>
      <c r="S28" s="912"/>
      <c r="T28" s="912"/>
      <c r="U28" s="912"/>
      <c r="V28" s="912"/>
      <c r="W28" s="912"/>
      <c r="X28" s="912"/>
      <c r="Y28" s="912"/>
      <c r="Z28" s="912"/>
      <c r="AA28" s="912"/>
      <c r="AB28" s="912"/>
    </row>
    <row r="29" spans="1:28">
      <c r="A29" s="809" t="s">
        <v>92</v>
      </c>
      <c r="B29" s="933"/>
      <c r="C29" s="674">
        <f>'Exh D Special Revenue State Fed'!C29+'Exh D Special Revenue State Fed'!N29</f>
        <v>75987</v>
      </c>
      <c r="D29" s="1918"/>
      <c r="E29" s="674">
        <f>'Exh D Special Revenue State Fed'!E29+'Exh D Special Revenue State Fed'!P29</f>
        <v>74449</v>
      </c>
      <c r="F29" s="634"/>
      <c r="G29" s="671">
        <f>+'Exh D Special Revenue State Fed'!G29+'Exh D Special Revenue State Fed'!R29</f>
        <v>73395.5</v>
      </c>
      <c r="H29" s="671"/>
      <c r="I29" s="671">
        <v>0</v>
      </c>
      <c r="J29" s="671"/>
      <c r="K29" s="1511">
        <f t="shared" ref="K29:K34" si="3">+G29+I29</f>
        <v>73395.5</v>
      </c>
      <c r="L29" s="634"/>
      <c r="M29" s="1511">
        <f t="shared" ref="M29:M34" si="4">ROUND(SUM(K29)-SUM(C29),1)</f>
        <v>-2591.5</v>
      </c>
      <c r="N29" s="931"/>
      <c r="O29" s="1511">
        <f t="shared" ref="O29:O34" si="5">K29-E29</f>
        <v>-1053.5</v>
      </c>
      <c r="P29" s="935"/>
      <c r="Q29" s="912"/>
      <c r="R29" s="935"/>
      <c r="S29" s="912"/>
      <c r="T29" s="935"/>
      <c r="U29" s="936"/>
      <c r="V29" s="912"/>
      <c r="W29" s="912"/>
      <c r="X29" s="912"/>
      <c r="Y29" s="912"/>
      <c r="Z29" s="912"/>
      <c r="AA29" s="912"/>
      <c r="AB29" s="912"/>
    </row>
    <row r="30" spans="1:28">
      <c r="A30" s="809" t="s">
        <v>93</v>
      </c>
      <c r="B30" s="933"/>
      <c r="C30" s="674">
        <f>'Exh D Special Revenue State Fed'!C30+'Exh D Special Revenue State Fed'!N30</f>
        <v>9985</v>
      </c>
      <c r="D30" s="1918"/>
      <c r="E30" s="674">
        <f>'Exh D Special Revenue State Fed'!E30+'Exh D Special Revenue State Fed'!P30</f>
        <v>10487</v>
      </c>
      <c r="F30" s="634"/>
      <c r="G30" s="671">
        <f>+'Exh D Special Revenue State Fed'!G30+'Exh D Special Revenue State Fed'!R30</f>
        <v>10366.400000000001</v>
      </c>
      <c r="H30" s="671"/>
      <c r="I30" s="671">
        <v>0</v>
      </c>
      <c r="J30" s="671"/>
      <c r="K30" s="1511">
        <f t="shared" si="3"/>
        <v>10366.400000000001</v>
      </c>
      <c r="L30" s="634"/>
      <c r="M30" s="1511">
        <f t="shared" si="4"/>
        <v>381.4</v>
      </c>
      <c r="N30" s="931"/>
      <c r="O30" s="1511">
        <f t="shared" si="5"/>
        <v>-120.59999999999854</v>
      </c>
      <c r="P30" s="933"/>
      <c r="Q30" s="912"/>
      <c r="R30" s="933"/>
      <c r="S30" s="912"/>
      <c r="T30" s="935"/>
      <c r="U30" s="912"/>
      <c r="V30" s="912"/>
      <c r="W30" s="935"/>
      <c r="X30" s="935"/>
      <c r="Y30" s="912"/>
      <c r="Z30" s="935"/>
      <c r="AA30" s="912"/>
      <c r="AB30" s="935"/>
    </row>
    <row r="31" spans="1:28">
      <c r="A31" s="809" t="s">
        <v>68</v>
      </c>
      <c r="B31" s="933"/>
      <c r="C31" s="674">
        <f>'Exh D Special Revenue State Fed'!C31+'Exh D Special Revenue State Fed'!N31</f>
        <v>1252</v>
      </c>
      <c r="D31" s="1918"/>
      <c r="E31" s="674">
        <f>'Exh D Special Revenue State Fed'!E31+'Exh D Special Revenue State Fed'!P31</f>
        <v>1868</v>
      </c>
      <c r="F31" s="634"/>
      <c r="G31" s="671">
        <f>+'Exh D Special Revenue State Fed'!G31+'Exh D Special Revenue State Fed'!R31</f>
        <v>1856.9</v>
      </c>
      <c r="H31" s="671"/>
      <c r="I31" s="671">
        <v>0</v>
      </c>
      <c r="J31" s="671"/>
      <c r="K31" s="1511">
        <f t="shared" si="3"/>
        <v>1856.9</v>
      </c>
      <c r="L31" s="634"/>
      <c r="M31" s="1511">
        <f t="shared" si="4"/>
        <v>604.9</v>
      </c>
      <c r="N31" s="931"/>
      <c r="O31" s="1511">
        <f t="shared" si="5"/>
        <v>-11.099999999999909</v>
      </c>
      <c r="P31" s="935"/>
      <c r="Q31" s="912"/>
      <c r="R31" s="935"/>
      <c r="S31" s="912"/>
      <c r="T31" s="935"/>
      <c r="U31" s="936"/>
      <c r="V31" s="912"/>
      <c r="W31" s="935"/>
      <c r="X31" s="935"/>
      <c r="Y31" s="912"/>
      <c r="Z31" s="935"/>
      <c r="AA31" s="912"/>
      <c r="AB31" s="935"/>
    </row>
    <row r="32" spans="1:28">
      <c r="A32" s="809" t="s">
        <v>94</v>
      </c>
      <c r="B32" s="933"/>
      <c r="C32" s="674">
        <f>'Exh D Special Revenue State Fed'!C32+'Exh D Special Revenue State Fed'!N32</f>
        <v>42</v>
      </c>
      <c r="D32" s="1918"/>
      <c r="E32" s="674">
        <f>'Exh D Special Revenue State Fed'!E32+'Exh D Special Revenue State Fed'!P32</f>
        <v>42</v>
      </c>
      <c r="F32" s="1511"/>
      <c r="G32" s="671">
        <f>+'Exh D Special Revenue State Fed'!G32+'Exh D Special Revenue State Fed'!R32</f>
        <v>42.3</v>
      </c>
      <c r="H32" s="671"/>
      <c r="I32" s="671">
        <v>0</v>
      </c>
      <c r="J32" s="671"/>
      <c r="K32" s="1511">
        <f t="shared" si="3"/>
        <v>42.3</v>
      </c>
      <c r="L32" s="1511"/>
      <c r="M32" s="1511">
        <f t="shared" si="4"/>
        <v>0.3</v>
      </c>
      <c r="N32" s="931"/>
      <c r="O32" s="1511">
        <f t="shared" si="5"/>
        <v>0.29999999999999716</v>
      </c>
      <c r="P32" s="935"/>
      <c r="Q32" s="912"/>
      <c r="R32" s="935"/>
      <c r="S32" s="912"/>
      <c r="T32" s="935"/>
      <c r="U32" s="936"/>
      <c r="V32" s="912"/>
      <c r="W32" s="935"/>
      <c r="X32" s="935"/>
      <c r="Y32" s="912"/>
      <c r="Z32" s="935"/>
      <c r="AA32" s="912"/>
      <c r="AB32" s="935"/>
    </row>
    <row r="33" spans="1:28">
      <c r="A33" s="809" t="s">
        <v>41</v>
      </c>
      <c r="B33" s="933"/>
      <c r="C33" s="674">
        <f>'Exh D Special Revenue State Fed'!C33+'Exh D Special Revenue State Fed'!N33</f>
        <v>0</v>
      </c>
      <c r="D33" s="1918"/>
      <c r="E33" s="674">
        <f>'Exh D Special Revenue State Fed'!E33+'Exh D Special Revenue State Fed'!P33</f>
        <v>0</v>
      </c>
      <c r="F33" s="634"/>
      <c r="G33" s="675">
        <f>+'Exh D Special Revenue State Fed'!G33+'Exh D Special Revenue State Fed'!R33</f>
        <v>0</v>
      </c>
      <c r="H33" s="675"/>
      <c r="I33" s="675">
        <v>0</v>
      </c>
      <c r="J33" s="675"/>
      <c r="K33" s="1511">
        <f t="shared" si="3"/>
        <v>0</v>
      </c>
      <c r="L33" s="634"/>
      <c r="M33" s="1511">
        <f t="shared" si="4"/>
        <v>0</v>
      </c>
      <c r="N33" s="931"/>
      <c r="O33" s="1511">
        <f t="shared" si="5"/>
        <v>0</v>
      </c>
      <c r="P33" s="935"/>
      <c r="Q33" s="912"/>
      <c r="R33" s="935"/>
      <c r="S33" s="912"/>
      <c r="T33" s="935"/>
      <c r="U33" s="936"/>
      <c r="V33" s="912"/>
      <c r="W33" s="912"/>
      <c r="X33" s="912"/>
      <c r="Y33" s="912"/>
      <c r="Z33" s="912"/>
      <c r="AA33" s="912"/>
      <c r="AB33" s="912"/>
    </row>
    <row r="34" spans="1:28">
      <c r="A34" s="809" t="s">
        <v>1518</v>
      </c>
      <c r="B34" s="933"/>
      <c r="C34" s="674">
        <f>'Exh D Special Revenue State Fed'!C34+'Exh D Special Revenue State Fed'!N34</f>
        <v>2028</v>
      </c>
      <c r="D34" s="1918"/>
      <c r="E34" s="674">
        <f>'Exh D Special Revenue State Fed'!E34+'Exh D Special Revenue State Fed'!P34</f>
        <v>1923</v>
      </c>
      <c r="F34" s="634"/>
      <c r="G34" s="671">
        <f>+'Exh D Special Revenue State Fed'!G34+'Exh D Special Revenue State Fed'!R34</f>
        <v>1904.8</v>
      </c>
      <c r="H34" s="671"/>
      <c r="I34" s="673">
        <f>-'Exhibit G'!AB115</f>
        <v>-509.7</v>
      </c>
      <c r="J34" s="671"/>
      <c r="K34" s="1511">
        <f t="shared" si="3"/>
        <v>1395.1</v>
      </c>
      <c r="L34" s="634"/>
      <c r="M34" s="1511">
        <f t="shared" si="4"/>
        <v>-632.9</v>
      </c>
      <c r="N34" s="931"/>
      <c r="O34" s="1511">
        <f t="shared" si="5"/>
        <v>-527.90000000000009</v>
      </c>
      <c r="P34" s="935"/>
      <c r="Q34" s="912"/>
      <c r="R34" s="935"/>
      <c r="S34" s="912"/>
      <c r="T34" s="935"/>
      <c r="U34" s="936"/>
      <c r="V34" s="912"/>
      <c r="W34" s="912"/>
      <c r="X34" s="912"/>
      <c r="Y34" s="912"/>
      <c r="Z34" s="912"/>
      <c r="AA34" s="912"/>
      <c r="AB34" s="912"/>
    </row>
    <row r="35" spans="1:28" ht="18" customHeight="1">
      <c r="A35" s="1521" t="s">
        <v>116</v>
      </c>
      <c r="B35" s="148"/>
      <c r="C35" s="1852">
        <f>ROUND(SUM(C29:C34),1)</f>
        <v>89294</v>
      </c>
      <c r="D35" s="148"/>
      <c r="E35" s="1852">
        <f>ROUND(SUM(E29:E34),1)</f>
        <v>88769</v>
      </c>
      <c r="F35" s="910"/>
      <c r="G35" s="212">
        <f>ROUND(SUM(G29:G34),1)</f>
        <v>87565.9</v>
      </c>
      <c r="H35" s="1512"/>
      <c r="I35" s="1522">
        <f>ROUND(SUM(I29:I34),1)</f>
        <v>-509.7</v>
      </c>
      <c r="J35" s="1512"/>
      <c r="K35" s="1522">
        <f>ROUND(SUM(K29:K34),1)</f>
        <v>87056.2</v>
      </c>
      <c r="L35" s="910"/>
      <c r="M35" s="212">
        <f>ROUND(SUM(M29:M34),1)</f>
        <v>-2237.8000000000002</v>
      </c>
      <c r="N35" s="73"/>
      <c r="O35" s="212">
        <f>ROUND(SUM(O29:O34),1)</f>
        <v>-1712.8</v>
      </c>
      <c r="P35" s="148"/>
      <c r="Q35" s="148"/>
      <c r="R35" s="148"/>
      <c r="S35" s="148"/>
      <c r="T35" s="148"/>
      <c r="U35" s="148"/>
      <c r="V35" s="148"/>
      <c r="W35" s="148"/>
      <c r="X35" s="148"/>
      <c r="Y35" s="148"/>
      <c r="Z35" s="148"/>
      <c r="AA35" s="148"/>
      <c r="AB35" s="148"/>
    </row>
    <row r="36" spans="1:28">
      <c r="A36" s="679"/>
      <c r="B36" s="912"/>
      <c r="C36" s="931"/>
      <c r="D36" s="912"/>
      <c r="E36" s="931"/>
      <c r="F36" s="634"/>
      <c r="G36" s="677"/>
      <c r="H36" s="931"/>
      <c r="I36" s="931"/>
      <c r="J36" s="931"/>
      <c r="K36" s="931"/>
      <c r="L36" s="634"/>
      <c r="M36" s="677"/>
      <c r="N36" s="931"/>
      <c r="O36" s="677"/>
      <c r="P36" s="912"/>
      <c r="Q36" s="912"/>
      <c r="R36" s="912"/>
      <c r="S36" s="912"/>
      <c r="T36" s="912"/>
      <c r="U36" s="912"/>
      <c r="V36" s="912"/>
      <c r="W36" s="912"/>
      <c r="X36" s="912"/>
      <c r="Y36" s="912"/>
      <c r="Z36" s="912"/>
      <c r="AA36" s="912"/>
      <c r="AB36" s="912"/>
    </row>
    <row r="37" spans="1:28" ht="15.6">
      <c r="A37" s="26" t="s">
        <v>117</v>
      </c>
      <c r="B37" s="912"/>
      <c r="C37" s="931"/>
      <c r="D37" s="912"/>
      <c r="E37" s="931"/>
      <c r="F37" s="634"/>
      <c r="G37" s="634"/>
      <c r="H37" s="1511"/>
      <c r="I37" s="1511"/>
      <c r="J37" s="1511"/>
      <c r="K37" s="1511"/>
      <c r="L37" s="634"/>
      <c r="M37" s="634"/>
      <c r="N37" s="931"/>
      <c r="O37" s="1511"/>
      <c r="P37" s="912"/>
      <c r="Q37" s="912"/>
      <c r="R37" s="912"/>
      <c r="S37" s="912"/>
      <c r="T37" s="912"/>
      <c r="U37" s="912"/>
      <c r="V37" s="912"/>
      <c r="W37" s="912"/>
      <c r="X37" s="912"/>
      <c r="Y37" s="912"/>
      <c r="Z37" s="912"/>
      <c r="AA37" s="912"/>
      <c r="AB37" s="912"/>
    </row>
    <row r="38" spans="1:28" ht="15.6">
      <c r="A38" s="26" t="s">
        <v>118</v>
      </c>
      <c r="B38" s="912"/>
      <c r="C38" s="931"/>
      <c r="D38" s="912"/>
      <c r="E38" s="931"/>
      <c r="F38" s="634"/>
      <c r="G38" s="634"/>
      <c r="H38" s="1511"/>
      <c r="I38" s="1511"/>
      <c r="J38" s="1511"/>
      <c r="K38" s="1511"/>
      <c r="L38" s="634"/>
      <c r="M38" s="634"/>
      <c r="N38" s="931"/>
      <c r="O38" s="1511"/>
      <c r="P38" s="912"/>
      <c r="Q38" s="912"/>
      <c r="R38" s="912"/>
      <c r="S38" s="912"/>
      <c r="T38" s="912"/>
      <c r="U38" s="912"/>
      <c r="V38" s="912"/>
      <c r="W38" s="912"/>
      <c r="X38" s="912"/>
      <c r="Y38" s="912"/>
      <c r="Z38" s="912"/>
      <c r="AA38" s="912"/>
      <c r="AB38" s="912"/>
    </row>
    <row r="39" spans="1:28" ht="15.6">
      <c r="A39" s="1109" t="s">
        <v>101</v>
      </c>
      <c r="B39" s="172"/>
      <c r="C39" s="1512">
        <f>ROUND(SUM(C26)-SUM(C35),1)</f>
        <v>13371</v>
      </c>
      <c r="D39" s="172"/>
      <c r="E39" s="1512">
        <f>ROUND(SUM(E26)-SUM(E35),1)</f>
        <v>16975</v>
      </c>
      <c r="F39" s="81"/>
      <c r="G39" s="73">
        <f>ROUND(SUM(G26)-SUM(G35),1)</f>
        <v>16162.8</v>
      </c>
      <c r="H39" s="1512"/>
      <c r="I39" s="1512">
        <v>0</v>
      </c>
      <c r="J39" s="1512"/>
      <c r="K39" s="1512">
        <f>+G39+I39</f>
        <v>16162.8</v>
      </c>
      <c r="L39" s="81"/>
      <c r="M39" s="73">
        <f>ROUND(SUM(M26)-SUM(M35),1)</f>
        <v>2791.8</v>
      </c>
      <c r="N39" s="389"/>
      <c r="O39" s="1512">
        <f>ROUND(SUM(O26)-SUM(O35),1)</f>
        <v>-812.2</v>
      </c>
      <c r="P39" s="148"/>
      <c r="Q39" s="171"/>
      <c r="R39" s="148"/>
      <c r="S39" s="171"/>
      <c r="T39" s="148"/>
      <c r="U39" s="148"/>
      <c r="V39" s="171"/>
      <c r="W39" s="148"/>
      <c r="X39" s="148"/>
      <c r="Y39" s="171"/>
      <c r="Z39" s="148"/>
      <c r="AA39" s="171"/>
      <c r="AB39" s="148"/>
    </row>
    <row r="40" spans="1:28" ht="15" customHeight="1">
      <c r="C40" s="660"/>
      <c r="E40" s="660"/>
      <c r="F40" s="920"/>
      <c r="G40" s="660"/>
      <c r="H40" s="660"/>
      <c r="I40" s="660"/>
      <c r="J40" s="660"/>
      <c r="K40" s="660"/>
      <c r="L40" s="920"/>
      <c r="M40" s="660"/>
      <c r="N40" s="660"/>
      <c r="O40" s="660"/>
    </row>
    <row r="41" spans="1:28" ht="15.6">
      <c r="A41" s="1109" t="str">
        <f>+'Exh D-Governmental  '!A49</f>
        <v>Fund Balances (Deficits) at April 1</v>
      </c>
      <c r="C41" s="1919">
        <f>'Exh D Special Revenue State Fed'!C41+'Exh D Special Revenue State Fed'!N41</f>
        <v>10669</v>
      </c>
      <c r="D41" s="1920"/>
      <c r="E41" s="1919">
        <f>'Exh D Special Revenue State Fed'!E41+'Exh D Special Revenue State Fed'!P41</f>
        <v>10669</v>
      </c>
      <c r="F41" s="920"/>
      <c r="G41" s="1512">
        <f>'Exh D Special Revenue State Fed'!G41+'Exh D Special Revenue State Fed'!R41</f>
        <v>10669.3</v>
      </c>
      <c r="H41" s="1512"/>
      <c r="I41" s="1512">
        <v>0</v>
      </c>
      <c r="J41" s="1512"/>
      <c r="K41" s="1512">
        <f>+G41+I41</f>
        <v>10669.3</v>
      </c>
      <c r="L41" s="920"/>
      <c r="M41" s="1512">
        <f>ROUND(SUM(K41)-SUM(C41),1)</f>
        <v>0.3</v>
      </c>
      <c r="N41" s="660"/>
      <c r="O41" s="910">
        <f t="shared" ref="O41" si="6">K41-E41</f>
        <v>0.2999999999992724</v>
      </c>
    </row>
    <row r="42" spans="1:28" ht="18" customHeight="1" thickBot="1">
      <c r="A42" s="1337" t="str">
        <f>+'Exh D-Governmental  '!A50</f>
        <v>Fund Balances (Deficits) at January 31, 2022</v>
      </c>
      <c r="B42" s="172"/>
      <c r="C42" s="95">
        <f>ROUND(SUM(C39:C41),1)</f>
        <v>24040</v>
      </c>
      <c r="D42" s="172"/>
      <c r="E42" s="95">
        <f>ROUND(SUM(E39:E41),1)</f>
        <v>27644</v>
      </c>
      <c r="F42" s="178"/>
      <c r="G42" s="95">
        <f>ROUND(SUM(G39:G41),1)</f>
        <v>26832.1</v>
      </c>
      <c r="H42" s="216"/>
      <c r="I42" s="95">
        <f>ROUND(SUM(I39:I41),1)</f>
        <v>0</v>
      </c>
      <c r="J42" s="216"/>
      <c r="K42" s="95">
        <f>ROUND(SUM(K39:K41),1)</f>
        <v>26832.1</v>
      </c>
      <c r="L42" s="178"/>
      <c r="M42" s="95">
        <f>ROUND(SUM(M39:M41),1)</f>
        <v>2792.1</v>
      </c>
      <c r="O42" s="95">
        <f>ROUND(SUM(O39:O41),1)</f>
        <v>-811.9</v>
      </c>
    </row>
    <row r="43" spans="1:28" ht="15" customHeight="1" thickTop="1">
      <c r="A43" s="152"/>
      <c r="E43" s="678"/>
      <c r="F43" s="937"/>
      <c r="G43" s="937"/>
      <c r="H43" s="937"/>
      <c r="I43" s="937"/>
      <c r="J43" s="937"/>
      <c r="K43" s="937"/>
      <c r="L43" s="937"/>
      <c r="M43" s="937"/>
      <c r="O43" s="1524"/>
    </row>
    <row r="44" spans="1:28">
      <c r="A44" s="924" t="str">
        <f>'Exh D-Governmental  '!A52</f>
        <v>(*)    Source: 2021-22 Enacted Financial Plan dated May 25, 2021.</v>
      </c>
    </row>
    <row r="45" spans="1:28">
      <c r="A45" s="919" t="str">
        <f>'Exh D-Governmental  '!A53</f>
        <v>(**)   Source: 2022-23 Executive Budget dated January 18, 2022.</v>
      </c>
    </row>
    <row r="46" spans="1:28">
      <c r="A46" s="1482" t="s">
        <v>1519</v>
      </c>
      <c r="I46" s="923" t="s">
        <v>14</v>
      </c>
    </row>
    <row r="47" spans="1:28">
      <c r="A47" s="938"/>
    </row>
    <row r="49" spans="1:1">
      <c r="A49" s="201"/>
    </row>
    <row r="50" spans="1:1">
      <c r="A50" s="201"/>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1640625" defaultRowHeight="15"/>
  <cols>
    <col min="1" max="1" width="53.08984375" style="919" customWidth="1"/>
    <col min="2" max="2" width="0.81640625" style="613" customWidth="1"/>
    <col min="3" max="3" width="15.81640625" style="422" customWidth="1"/>
    <col min="4" max="4" width="0.81640625" style="923" customWidth="1"/>
    <col min="5" max="5" width="15.81640625" style="422" customWidth="1"/>
    <col min="6" max="6" width="0.81640625" style="923" customWidth="1"/>
    <col min="7" max="7" width="15.81640625" style="923" customWidth="1"/>
    <col min="8" max="8" width="0.81640625" style="923" customWidth="1"/>
    <col min="9" max="9" width="15.81640625" style="923" customWidth="1"/>
    <col min="10" max="10" width="0.81640625" style="923" customWidth="1"/>
    <col min="11" max="11" width="15.81640625" style="923" customWidth="1"/>
    <col min="12" max="12" width="1.81640625" style="613" customWidth="1"/>
    <col min="13" max="13" width="0.81640625" style="613" customWidth="1"/>
    <col min="14" max="14" width="15.81640625" style="613" customWidth="1"/>
    <col min="15" max="15" width="1.08984375" style="613" customWidth="1"/>
    <col min="16" max="16" width="15.81640625" style="613" customWidth="1"/>
    <col min="17" max="17" width="1.08984375" style="613" customWidth="1"/>
    <col min="18" max="18" width="15.81640625" style="613" customWidth="1"/>
    <col min="19" max="19" width="0.54296875" style="613" customWidth="1"/>
    <col min="20" max="20" width="15.81640625" style="613" customWidth="1"/>
    <col min="21" max="21" width="1.08984375" style="613" customWidth="1"/>
    <col min="22" max="22" width="15.81640625" style="422" customWidth="1"/>
    <col min="23" max="23" width="1" style="613" customWidth="1"/>
    <col min="24" max="24" width="3.81640625" style="422" customWidth="1"/>
    <col min="25" max="25" width="1" style="613" customWidth="1"/>
    <col min="26" max="26" width="15.81640625" style="613" customWidth="1"/>
    <col min="27" max="27" width="0.81640625" style="613" customWidth="1"/>
    <col min="28" max="28" width="15.81640625" style="613" customWidth="1"/>
    <col min="29" max="29" width="8.984375E-2" style="613" customWidth="1"/>
    <col min="30" max="30" width="11.81640625" style="613" customWidth="1"/>
    <col min="31" max="31" width="11.453125" style="613" customWidth="1"/>
    <col min="32" max="32" width="1.81640625" style="613" customWidth="1"/>
    <col min="33" max="33" width="11.81640625" style="613" customWidth="1"/>
    <col min="34" max="34" width="2.08984375" style="613" customWidth="1"/>
    <col min="35" max="35" width="11.453125" style="613" customWidth="1"/>
    <col min="36" max="36" width="0.54296875" style="613" customWidth="1"/>
    <col min="37" max="37" width="2.08984375" style="613" customWidth="1"/>
    <col min="38" max="38" width="10.54296875" style="613" customWidth="1"/>
    <col min="39" max="39" width="11.08984375" style="613" customWidth="1"/>
    <col min="40" max="40" width="2.08984375" style="613" customWidth="1"/>
    <col min="41" max="41" width="11.08984375" style="613" customWidth="1"/>
    <col min="42" max="42" width="2.08984375" style="613" customWidth="1"/>
    <col min="43" max="43" width="12.453125" style="613" customWidth="1"/>
    <col min="44" max="48" width="8.81640625" style="613"/>
    <col min="49" max="49" width="8.81640625" style="923"/>
    <col min="50" max="16384" width="8.81640625" style="919"/>
  </cols>
  <sheetData>
    <row r="1" spans="1:49">
      <c r="A1" s="925" t="s">
        <v>881</v>
      </c>
      <c r="B1" s="183"/>
      <c r="C1" s="416"/>
      <c r="D1" s="184"/>
      <c r="E1" s="416"/>
      <c r="F1" s="184"/>
      <c r="G1" s="184"/>
      <c r="H1" s="184"/>
      <c r="I1" s="184"/>
      <c r="J1" s="184"/>
      <c r="K1" s="184"/>
      <c r="L1" s="183"/>
      <c r="M1" s="183"/>
      <c r="N1" s="183"/>
      <c r="O1" s="183"/>
      <c r="P1" s="183"/>
      <c r="Q1" s="183"/>
      <c r="R1" s="183"/>
      <c r="S1" s="183"/>
      <c r="T1" s="183"/>
      <c r="U1" s="183"/>
      <c r="V1" s="1170"/>
      <c r="W1" s="183"/>
      <c r="X1" s="1170"/>
      <c r="Y1" s="183"/>
      <c r="Z1" s="183"/>
      <c r="AA1" s="183"/>
      <c r="AB1" s="183"/>
      <c r="AC1" s="184"/>
      <c r="AD1" s="183"/>
      <c r="AE1" s="183"/>
      <c r="AF1" s="183"/>
      <c r="AG1" s="183"/>
      <c r="AH1" s="183"/>
      <c r="AI1" s="183"/>
      <c r="AJ1" s="183"/>
      <c r="AK1" s="183"/>
      <c r="AL1" s="183"/>
      <c r="AM1" s="183"/>
      <c r="AN1" s="183"/>
      <c r="AO1" s="183"/>
      <c r="AP1" s="183"/>
      <c r="AQ1" s="183"/>
      <c r="AR1" s="919"/>
      <c r="AS1" s="919"/>
      <c r="AT1" s="919"/>
      <c r="AU1" s="919"/>
      <c r="AV1" s="919"/>
      <c r="AW1" s="919"/>
    </row>
    <row r="2" spans="1:49" ht="17.25" customHeight="1">
      <c r="A2" s="185"/>
      <c r="B2" s="186"/>
      <c r="C2" s="417"/>
      <c r="D2" s="184"/>
      <c r="E2" s="417"/>
      <c r="F2" s="184"/>
      <c r="G2" s="184"/>
      <c r="H2" s="184"/>
      <c r="I2" s="184"/>
      <c r="J2" s="184"/>
      <c r="K2" s="184"/>
      <c r="L2" s="183"/>
      <c r="M2" s="183"/>
      <c r="N2" s="183"/>
      <c r="O2" s="183"/>
      <c r="P2" s="183"/>
      <c r="Q2" s="183"/>
      <c r="R2" s="183"/>
      <c r="S2" s="183"/>
      <c r="T2" s="183"/>
      <c r="U2" s="183"/>
      <c r="V2" s="1170"/>
      <c r="W2" s="183"/>
      <c r="X2" s="1170"/>
      <c r="Y2" s="183"/>
      <c r="Z2" s="1171"/>
      <c r="AA2" s="183"/>
      <c r="AB2" s="183"/>
      <c r="AC2" s="184"/>
      <c r="AD2" s="183"/>
      <c r="AE2" s="183"/>
      <c r="AF2" s="183"/>
      <c r="AG2" s="183"/>
      <c r="AH2" s="183"/>
      <c r="AI2" s="183"/>
      <c r="AJ2" s="183"/>
      <c r="AK2" s="183"/>
      <c r="AL2" s="183"/>
      <c r="AM2" s="183"/>
      <c r="AN2" s="183"/>
      <c r="AO2" s="183"/>
      <c r="AP2" s="183"/>
      <c r="AQ2" s="183"/>
      <c r="AR2" s="919"/>
      <c r="AS2" s="919"/>
      <c r="AT2" s="919"/>
      <c r="AU2" s="919"/>
      <c r="AV2" s="919"/>
      <c r="AW2" s="919"/>
    </row>
    <row r="3" spans="1:49" ht="18.75" customHeight="1">
      <c r="A3" s="188" t="s">
        <v>0</v>
      </c>
      <c r="B3" s="145"/>
      <c r="C3" s="418"/>
      <c r="D3" s="140"/>
      <c r="E3" s="418"/>
      <c r="F3" s="140"/>
      <c r="G3" s="140"/>
      <c r="H3" s="140"/>
      <c r="I3" s="140"/>
      <c r="J3" s="140"/>
      <c r="K3" s="140"/>
      <c r="L3" s="153"/>
      <c r="M3" s="153"/>
      <c r="N3" s="153"/>
      <c r="O3" s="153"/>
      <c r="P3" s="153"/>
      <c r="Q3" s="153"/>
      <c r="R3" s="153"/>
      <c r="S3" s="153"/>
      <c r="T3" s="810"/>
      <c r="U3" s="153"/>
      <c r="V3" s="810" t="s">
        <v>82</v>
      </c>
      <c r="W3" s="153"/>
      <c r="X3" s="1172"/>
      <c r="Y3" s="153"/>
      <c r="Z3" s="153"/>
      <c r="AA3" s="153"/>
      <c r="AB3" s="1173"/>
      <c r="AC3" s="140"/>
      <c r="AD3" s="153"/>
      <c r="AE3" s="153"/>
      <c r="AF3" s="153"/>
      <c r="AG3" s="153"/>
      <c r="AH3" s="153"/>
      <c r="AI3" s="153"/>
      <c r="AJ3" s="153"/>
      <c r="AK3" s="153"/>
      <c r="AL3" s="153"/>
      <c r="AM3" s="153"/>
      <c r="AN3" s="153"/>
      <c r="AO3" s="153"/>
      <c r="AP3" s="153"/>
      <c r="AQ3" s="189"/>
      <c r="AR3" s="919"/>
      <c r="AS3" s="919"/>
      <c r="AT3" s="919"/>
      <c r="AU3" s="919"/>
      <c r="AV3" s="919"/>
      <c r="AW3" s="919"/>
    </row>
    <row r="4" spans="1:49" ht="18.75" customHeight="1">
      <c r="A4" s="188" t="s">
        <v>81</v>
      </c>
      <c r="B4" s="145"/>
      <c r="C4" s="418"/>
      <c r="D4" s="140"/>
      <c r="E4" s="418"/>
      <c r="F4" s="140"/>
      <c r="G4" s="140"/>
      <c r="H4" s="140"/>
      <c r="I4" s="140"/>
      <c r="J4" s="140"/>
      <c r="K4" s="140"/>
      <c r="L4" s="153"/>
      <c r="M4" s="153"/>
      <c r="N4" s="153"/>
      <c r="O4" s="153"/>
      <c r="P4" s="153"/>
      <c r="Q4" s="153"/>
      <c r="R4" s="153"/>
      <c r="S4" s="153"/>
      <c r="T4" s="811"/>
      <c r="U4" s="153"/>
      <c r="V4" s="811"/>
      <c r="W4" s="153"/>
      <c r="X4" s="1172"/>
      <c r="Y4" s="153"/>
      <c r="Z4" s="153"/>
      <c r="AA4" s="153"/>
      <c r="AB4" s="1174"/>
      <c r="AC4" s="140"/>
      <c r="AD4" s="153"/>
      <c r="AE4" s="153"/>
      <c r="AF4" s="153"/>
      <c r="AG4" s="153"/>
      <c r="AH4" s="153"/>
      <c r="AI4" s="153"/>
      <c r="AJ4" s="153"/>
      <c r="AK4" s="153"/>
      <c r="AL4" s="153"/>
      <c r="AM4" s="153"/>
      <c r="AN4" s="153"/>
      <c r="AO4" s="153"/>
      <c r="AP4" s="153"/>
      <c r="AQ4" s="153"/>
      <c r="AR4" s="919"/>
      <c r="AS4" s="919"/>
      <c r="AT4" s="919"/>
      <c r="AU4" s="919"/>
      <c r="AV4" s="919"/>
      <c r="AW4" s="919"/>
    </row>
    <row r="5" spans="1:49" ht="18.75" customHeight="1">
      <c r="A5" s="3966" t="str">
        <f>'Exh D-Governmental  '!A5:E5</f>
        <v>FISCAL YEAR 2021-2022</v>
      </c>
      <c r="B5" s="3967"/>
      <c r="C5" s="3967"/>
      <c r="D5" s="3967"/>
      <c r="E5" s="3967"/>
      <c r="F5" s="140"/>
      <c r="G5" s="804"/>
      <c r="H5" s="140"/>
      <c r="I5" s="140"/>
      <c r="J5" s="140"/>
      <c r="K5" s="140"/>
      <c r="L5" s="153"/>
      <c r="M5" s="153"/>
      <c r="N5" s="2034"/>
      <c r="O5" s="153"/>
      <c r="P5" s="153"/>
      <c r="Q5" s="153"/>
      <c r="R5" s="153"/>
      <c r="S5" s="153"/>
      <c r="T5" s="153"/>
      <c r="U5" s="153"/>
      <c r="V5" s="1172"/>
      <c r="W5" s="153"/>
      <c r="X5" s="1172"/>
      <c r="Y5" s="153"/>
      <c r="Z5" s="153"/>
      <c r="AA5" s="153"/>
      <c r="AB5" s="153"/>
      <c r="AC5" s="140"/>
      <c r="AD5" s="153"/>
      <c r="AE5" s="153"/>
      <c r="AF5" s="153"/>
      <c r="AG5" s="153"/>
      <c r="AH5" s="153"/>
      <c r="AI5" s="153"/>
      <c r="AJ5" s="153"/>
      <c r="AK5" s="153"/>
      <c r="AL5" s="153"/>
      <c r="AM5" s="153"/>
      <c r="AN5" s="153"/>
      <c r="AO5" s="153"/>
      <c r="AP5" s="153"/>
      <c r="AQ5" s="153"/>
      <c r="AR5" s="919"/>
      <c r="AS5" s="919"/>
      <c r="AT5" s="919"/>
      <c r="AU5" s="919"/>
      <c r="AV5" s="919"/>
      <c r="AW5" s="919"/>
    </row>
    <row r="6" spans="1:49" ht="18.75" customHeight="1">
      <c r="A6" s="1458" t="str">
        <f>'Exh D-Governmental  '!A6</f>
        <v xml:space="preserve">FOR TEN MONTHS ENDED JANUARY 31, 2022    </v>
      </c>
      <c r="B6" s="3945"/>
      <c r="C6" s="3946"/>
      <c r="D6" s="3947"/>
      <c r="E6" s="3946"/>
      <c r="F6" s="140"/>
      <c r="G6" s="140"/>
      <c r="H6" s="140"/>
      <c r="I6" s="140"/>
      <c r="J6" s="140"/>
      <c r="K6" s="140"/>
      <c r="L6" s="153"/>
      <c r="M6" s="153"/>
      <c r="N6" s="153"/>
      <c r="O6" s="153"/>
      <c r="P6" s="153"/>
      <c r="Q6" s="153"/>
      <c r="R6" s="153"/>
      <c r="S6" s="153"/>
      <c r="T6" s="153"/>
      <c r="U6" s="153"/>
      <c r="V6" s="1172"/>
      <c r="W6" s="153"/>
      <c r="X6" s="1172"/>
      <c r="Y6" s="153"/>
      <c r="Z6" s="153"/>
      <c r="AA6" s="153"/>
      <c r="AB6" s="153"/>
      <c r="AC6" s="140"/>
      <c r="AD6" s="153"/>
      <c r="AE6" s="153"/>
      <c r="AF6" s="153"/>
      <c r="AG6" s="153"/>
      <c r="AH6" s="153"/>
      <c r="AI6" s="153"/>
      <c r="AJ6" s="153"/>
      <c r="AK6" s="153"/>
      <c r="AL6" s="153"/>
      <c r="AM6" s="153"/>
      <c r="AN6" s="153"/>
      <c r="AO6" s="153"/>
      <c r="AP6" s="153"/>
      <c r="AQ6" s="153"/>
      <c r="AR6" s="919"/>
      <c r="AS6" s="919"/>
      <c r="AT6" s="919"/>
      <c r="AU6" s="919"/>
      <c r="AV6" s="919"/>
      <c r="AW6" s="919"/>
    </row>
    <row r="7" spans="1:49" ht="18.75" customHeight="1">
      <c r="A7" s="188" t="s">
        <v>1264</v>
      </c>
      <c r="B7" s="145"/>
      <c r="C7" s="418"/>
      <c r="D7" s="140"/>
      <c r="E7" s="418"/>
      <c r="F7" s="140"/>
      <c r="G7" s="140"/>
      <c r="H7" s="140"/>
      <c r="I7" s="140"/>
      <c r="J7" s="140"/>
      <c r="K7" s="140"/>
      <c r="L7" s="153"/>
      <c r="M7" s="153"/>
      <c r="N7" s="153"/>
      <c r="O7" s="153"/>
      <c r="P7" s="153"/>
      <c r="Q7" s="153"/>
      <c r="R7" s="153"/>
      <c r="S7" s="153"/>
      <c r="T7" s="153"/>
      <c r="U7" s="153"/>
      <c r="V7" s="1172"/>
      <c r="W7" s="153"/>
      <c r="X7" s="1172"/>
      <c r="Y7" s="153"/>
      <c r="Z7" s="153"/>
      <c r="AA7" s="153"/>
      <c r="AB7" s="153"/>
      <c r="AC7" s="140"/>
      <c r="AD7" s="153"/>
      <c r="AE7" s="153"/>
      <c r="AF7" s="153"/>
      <c r="AG7" s="153"/>
      <c r="AH7" s="153"/>
      <c r="AI7" s="153"/>
      <c r="AJ7" s="153"/>
      <c r="AK7" s="153"/>
      <c r="AL7" s="153"/>
      <c r="AM7" s="153"/>
      <c r="AN7" s="153"/>
      <c r="AO7" s="153"/>
      <c r="AP7" s="153"/>
      <c r="AQ7" s="153"/>
      <c r="AR7" s="919"/>
      <c r="AS7" s="919"/>
      <c r="AT7" s="919"/>
      <c r="AU7" s="919"/>
      <c r="AV7" s="919"/>
      <c r="AW7" s="919"/>
    </row>
    <row r="8" spans="1:49" ht="15" customHeight="1">
      <c r="A8" s="190"/>
      <c r="B8" s="144"/>
      <c r="C8" s="418"/>
      <c r="D8" s="140"/>
      <c r="E8" s="418"/>
      <c r="F8" s="140"/>
      <c r="G8" s="140"/>
      <c r="H8" s="140"/>
      <c r="I8" s="140"/>
      <c r="J8" s="140"/>
      <c r="K8" s="140"/>
      <c r="L8" s="153"/>
      <c r="M8" s="153"/>
      <c r="N8" s="153"/>
      <c r="O8" s="153"/>
      <c r="P8" s="153"/>
      <c r="Q8" s="153"/>
      <c r="R8" s="153"/>
      <c r="S8" s="153"/>
      <c r="T8" s="153"/>
      <c r="U8" s="153"/>
      <c r="V8" s="1172"/>
      <c r="W8" s="153"/>
      <c r="X8" s="1172"/>
      <c r="Y8" s="153"/>
      <c r="Z8" s="153"/>
      <c r="AA8" s="153"/>
      <c r="AB8" s="153"/>
      <c r="AC8" s="140"/>
      <c r="AD8" s="153"/>
      <c r="AE8" s="153"/>
      <c r="AF8" s="153"/>
      <c r="AG8" s="153"/>
      <c r="AH8" s="153"/>
      <c r="AI8" s="153"/>
      <c r="AJ8" s="153"/>
      <c r="AK8" s="153"/>
      <c r="AL8" s="153"/>
      <c r="AM8" s="153"/>
      <c r="AN8" s="153"/>
      <c r="AO8" s="153"/>
      <c r="AP8" s="153"/>
      <c r="AQ8" s="153"/>
      <c r="AR8" s="919"/>
      <c r="AS8" s="919"/>
      <c r="AT8" s="919"/>
      <c r="AU8" s="919"/>
      <c r="AV8" s="919"/>
      <c r="AW8" s="919"/>
    </row>
    <row r="9" spans="1:49">
      <c r="A9" s="147"/>
      <c r="B9" s="153"/>
      <c r="C9" s="419"/>
      <c r="D9" s="140"/>
      <c r="E9" s="419"/>
      <c r="F9" s="140"/>
      <c r="G9" s="140"/>
      <c r="H9" s="140"/>
      <c r="I9" s="140"/>
      <c r="J9" s="140"/>
      <c r="K9" s="140"/>
      <c r="L9" s="153"/>
      <c r="M9" s="153"/>
      <c r="N9" s="153"/>
      <c r="O9" s="153"/>
      <c r="P9" s="153"/>
      <c r="Q9" s="153"/>
      <c r="R9" s="153"/>
      <c r="S9" s="153"/>
      <c r="T9" s="153"/>
      <c r="U9" s="153"/>
      <c r="V9" s="1172"/>
      <c r="W9" s="153"/>
      <c r="X9" s="1172"/>
      <c r="Y9" s="153"/>
      <c r="Z9" s="153"/>
      <c r="AA9" s="153"/>
      <c r="AB9" s="153"/>
      <c r="AC9" s="140"/>
      <c r="AD9" s="153"/>
      <c r="AE9" s="153"/>
      <c r="AF9" s="153"/>
      <c r="AG9" s="153"/>
      <c r="AH9" s="153"/>
      <c r="AI9" s="153"/>
      <c r="AJ9" s="153"/>
      <c r="AK9" s="153"/>
      <c r="AL9" s="153"/>
      <c r="AM9" s="153"/>
      <c r="AN9" s="153"/>
      <c r="AO9" s="153"/>
      <c r="AP9" s="153"/>
      <c r="AQ9" s="153"/>
      <c r="AR9" s="919"/>
      <c r="AS9" s="919"/>
      <c r="AT9" s="919"/>
      <c r="AU9" s="919"/>
      <c r="AV9" s="919"/>
      <c r="AW9" s="919"/>
    </row>
    <row r="10" spans="1:49">
      <c r="A10" s="147"/>
      <c r="B10" s="153"/>
      <c r="C10" s="419"/>
      <c r="D10" s="140"/>
      <c r="E10" s="419"/>
      <c r="F10" s="140"/>
      <c r="G10" s="140"/>
      <c r="H10" s="140"/>
      <c r="I10" s="140"/>
      <c r="J10" s="140"/>
      <c r="K10" s="140"/>
      <c r="L10" s="153"/>
      <c r="M10" s="153"/>
      <c r="N10" s="153"/>
      <c r="O10" s="153"/>
      <c r="P10" s="153"/>
      <c r="Q10" s="153"/>
      <c r="R10" s="153"/>
      <c r="S10" s="153"/>
      <c r="T10" s="153"/>
      <c r="U10" s="153"/>
      <c r="V10" s="952"/>
      <c r="W10" s="144"/>
      <c r="X10" s="952"/>
      <c r="Y10" s="144"/>
      <c r="Z10" s="144"/>
      <c r="AA10" s="144"/>
      <c r="AB10" s="144"/>
      <c r="AC10" s="140"/>
      <c r="AD10" s="153"/>
      <c r="AE10" s="153"/>
      <c r="AF10" s="153"/>
      <c r="AG10" s="153"/>
      <c r="AH10" s="153"/>
      <c r="AI10" s="153"/>
      <c r="AJ10" s="153"/>
      <c r="AK10" s="153"/>
      <c r="AL10" s="153"/>
      <c r="AM10" s="153"/>
      <c r="AN10" s="153"/>
      <c r="AO10" s="153"/>
      <c r="AP10" s="153"/>
      <c r="AQ10" s="153"/>
      <c r="AR10" s="919"/>
      <c r="AS10" s="919"/>
      <c r="AT10" s="919"/>
      <c r="AU10" s="919"/>
      <c r="AV10" s="919"/>
      <c r="AW10" s="919"/>
    </row>
    <row r="11" spans="1:49" ht="15.6">
      <c r="A11" s="679"/>
      <c r="C11" s="3968" t="s">
        <v>1035</v>
      </c>
      <c r="D11" s="3968"/>
      <c r="E11" s="3968"/>
      <c r="F11" s="3968"/>
      <c r="G11" s="3968"/>
      <c r="H11" s="3968"/>
      <c r="I11" s="3968"/>
      <c r="J11" s="1166"/>
      <c r="K11" s="1166"/>
      <c r="L11" s="193"/>
      <c r="M11" s="191"/>
      <c r="N11" s="3968" t="s">
        <v>1036</v>
      </c>
      <c r="O11" s="3968"/>
      <c r="P11" s="3968"/>
      <c r="Q11" s="3968"/>
      <c r="R11" s="3968"/>
      <c r="S11" s="3968"/>
      <c r="T11" s="3968"/>
      <c r="U11" s="1175"/>
      <c r="V11" s="1402"/>
      <c r="W11" s="1421"/>
      <c r="X11" s="1421"/>
      <c r="Y11" s="1421"/>
      <c r="Z11" s="1421"/>
      <c r="AA11" s="1421"/>
      <c r="AB11" s="1421"/>
      <c r="AC11" s="148"/>
      <c r="AD11" s="191"/>
      <c r="AE11" s="191"/>
      <c r="AF11" s="191"/>
      <c r="AG11" s="191"/>
      <c r="AH11" s="191"/>
      <c r="AI11" s="191"/>
      <c r="AJ11" s="191"/>
      <c r="AK11" s="148"/>
      <c r="AL11" s="191"/>
      <c r="AM11" s="192"/>
      <c r="AN11" s="191"/>
      <c r="AO11" s="191"/>
      <c r="AP11" s="191"/>
      <c r="AQ11" s="191"/>
      <c r="AR11" s="919"/>
      <c r="AS11" s="919"/>
      <c r="AT11" s="919"/>
      <c r="AU11" s="919"/>
      <c r="AV11" s="919"/>
      <c r="AW11" s="919"/>
    </row>
    <row r="12" spans="1:49" ht="15.6">
      <c r="A12" s="679"/>
      <c r="C12" s="420"/>
      <c r="D12" s="193"/>
      <c r="E12" s="420"/>
      <c r="F12" s="193"/>
      <c r="G12" s="194"/>
      <c r="H12" s="193"/>
      <c r="I12" s="193" t="s">
        <v>83</v>
      </c>
      <c r="J12" s="193"/>
      <c r="K12" s="193" t="s">
        <v>83</v>
      </c>
      <c r="L12" s="193"/>
      <c r="M12" s="1190"/>
      <c r="N12" s="420"/>
      <c r="O12" s="193"/>
      <c r="P12" s="420"/>
      <c r="Q12" s="193"/>
      <c r="R12" s="194"/>
      <c r="S12" s="193"/>
      <c r="T12" s="193" t="s">
        <v>83</v>
      </c>
      <c r="U12" s="191"/>
      <c r="V12" s="193" t="s">
        <v>83</v>
      </c>
      <c r="W12" s="193"/>
      <c r="X12" s="423"/>
      <c r="Y12" s="193"/>
      <c r="Z12" s="194"/>
      <c r="AA12" s="193"/>
      <c r="AB12" s="193"/>
      <c r="AC12" s="148"/>
      <c r="AD12" s="191"/>
      <c r="AE12" s="191"/>
      <c r="AF12" s="191"/>
      <c r="AG12" s="191"/>
      <c r="AH12" s="191"/>
      <c r="AI12" s="191"/>
      <c r="AJ12" s="191"/>
      <c r="AK12" s="148"/>
      <c r="AL12" s="191"/>
      <c r="AM12" s="192"/>
      <c r="AN12" s="191"/>
      <c r="AO12" s="191"/>
      <c r="AP12" s="191"/>
      <c r="AQ12" s="191"/>
      <c r="AR12" s="919"/>
      <c r="AS12" s="919"/>
      <c r="AT12" s="919"/>
      <c r="AU12" s="919"/>
      <c r="AV12" s="919"/>
      <c r="AW12" s="919"/>
    </row>
    <row r="13" spans="1:49" ht="15.6">
      <c r="A13" s="679"/>
      <c r="B13" s="148"/>
      <c r="C13" s="421"/>
      <c r="D13" s="195"/>
      <c r="E13" s="421"/>
      <c r="F13" s="195"/>
      <c r="G13" s="195"/>
      <c r="H13" s="195"/>
      <c r="I13" s="196" t="s">
        <v>795</v>
      </c>
      <c r="J13" s="196"/>
      <c r="K13" s="196" t="s">
        <v>795</v>
      </c>
      <c r="L13" s="955"/>
      <c r="M13" s="1191"/>
      <c r="N13" s="421"/>
      <c r="O13" s="195"/>
      <c r="P13" s="421"/>
      <c r="Q13" s="195"/>
      <c r="R13" s="195"/>
      <c r="S13" s="195"/>
      <c r="T13" s="196" t="s">
        <v>795</v>
      </c>
      <c r="U13" s="198"/>
      <c r="V13" s="196" t="s">
        <v>795</v>
      </c>
      <c r="W13" s="954"/>
      <c r="X13" s="953"/>
      <c r="Y13" s="954"/>
      <c r="Z13" s="954"/>
      <c r="AA13" s="954"/>
      <c r="AB13" s="955"/>
      <c r="AC13" s="148"/>
      <c r="AD13" s="148"/>
      <c r="AE13" s="148"/>
      <c r="AF13" s="148"/>
      <c r="AG13" s="148"/>
      <c r="AH13" s="148"/>
      <c r="AI13" s="197"/>
      <c r="AJ13" s="198"/>
      <c r="AK13" s="148"/>
      <c r="AL13" s="148"/>
      <c r="AM13" s="148"/>
      <c r="AN13" s="148"/>
      <c r="AO13" s="148"/>
      <c r="AP13" s="148"/>
      <c r="AQ13" s="197"/>
      <c r="AR13" s="919"/>
      <c r="AS13" s="919"/>
      <c r="AT13" s="919"/>
      <c r="AU13" s="919"/>
      <c r="AV13" s="919"/>
      <c r="AW13" s="919"/>
    </row>
    <row r="14" spans="1:49" ht="15.6">
      <c r="A14" s="679"/>
      <c r="B14" s="199"/>
      <c r="C14" s="151" t="s">
        <v>988</v>
      </c>
      <c r="D14" s="919"/>
      <c r="E14" s="150" t="s">
        <v>989</v>
      </c>
      <c r="F14" s="149"/>
      <c r="G14" s="149"/>
      <c r="H14" s="149"/>
      <c r="I14" s="150" t="s">
        <v>84</v>
      </c>
      <c r="J14" s="150"/>
      <c r="K14" s="150" t="s">
        <v>84</v>
      </c>
      <c r="L14" s="198"/>
      <c r="M14" s="1191"/>
      <c r="N14" s="151" t="s">
        <v>988</v>
      </c>
      <c r="O14" s="919"/>
      <c r="P14" s="150" t="s">
        <v>989</v>
      </c>
      <c r="Q14" s="149"/>
      <c r="R14" s="149"/>
      <c r="S14" s="149"/>
      <c r="T14" s="150" t="s">
        <v>84</v>
      </c>
      <c r="U14" s="198"/>
      <c r="V14" s="150" t="s">
        <v>84</v>
      </c>
      <c r="W14" s="680"/>
      <c r="X14" s="198"/>
      <c r="Y14" s="148"/>
      <c r="Z14" s="148"/>
      <c r="AA14" s="148"/>
      <c r="AB14" s="198"/>
      <c r="AC14" s="148"/>
      <c r="AD14" s="197"/>
      <c r="AE14" s="198"/>
      <c r="AF14" s="148"/>
      <c r="AG14" s="148"/>
      <c r="AH14" s="148"/>
      <c r="AI14" s="197"/>
      <c r="AJ14" s="198"/>
      <c r="AK14" s="148"/>
      <c r="AL14" s="197"/>
      <c r="AM14" s="198"/>
      <c r="AN14" s="148"/>
      <c r="AO14" s="148"/>
      <c r="AP14" s="148"/>
      <c r="AQ14" s="197"/>
      <c r="AR14" s="919"/>
      <c r="AS14" s="919"/>
      <c r="AT14" s="919"/>
      <c r="AU14" s="919"/>
      <c r="AV14" s="919"/>
      <c r="AW14" s="919"/>
    </row>
    <row r="15" spans="1:49" ht="15.6">
      <c r="A15" s="679"/>
      <c r="B15" s="199"/>
      <c r="C15" s="150" t="s">
        <v>1024</v>
      </c>
      <c r="D15" s="149"/>
      <c r="E15" s="150" t="s">
        <v>1024</v>
      </c>
      <c r="F15" s="149"/>
      <c r="G15" s="149"/>
      <c r="H15" s="149"/>
      <c r="I15" s="150" t="s">
        <v>988</v>
      </c>
      <c r="J15" s="150"/>
      <c r="K15" s="150" t="s">
        <v>989</v>
      </c>
      <c r="L15" s="198"/>
      <c r="M15" s="1191"/>
      <c r="N15" s="150" t="s">
        <v>1024</v>
      </c>
      <c r="O15" s="149"/>
      <c r="P15" s="150" t="s">
        <v>1024</v>
      </c>
      <c r="Q15" s="149"/>
      <c r="R15" s="149"/>
      <c r="S15" s="149"/>
      <c r="T15" s="150" t="s">
        <v>988</v>
      </c>
      <c r="U15" s="198"/>
      <c r="V15" s="150" t="s">
        <v>989</v>
      </c>
      <c r="W15" s="148"/>
      <c r="X15" s="198"/>
      <c r="Y15" s="148"/>
      <c r="Z15" s="148"/>
      <c r="AA15" s="148"/>
      <c r="AB15" s="198"/>
      <c r="AC15" s="148"/>
      <c r="AD15" s="197"/>
      <c r="AE15" s="198"/>
      <c r="AF15" s="148"/>
      <c r="AG15" s="148"/>
      <c r="AH15" s="148"/>
      <c r="AI15" s="197"/>
      <c r="AJ15" s="198"/>
      <c r="AK15" s="148"/>
      <c r="AL15" s="197"/>
      <c r="AM15" s="198"/>
      <c r="AN15" s="148"/>
      <c r="AO15" s="148"/>
      <c r="AP15" s="148"/>
      <c r="AQ15" s="197"/>
      <c r="AR15" s="919"/>
      <c r="AS15" s="919"/>
      <c r="AT15" s="919"/>
      <c r="AU15" s="919"/>
      <c r="AV15" s="919"/>
      <c r="AW15" s="919"/>
    </row>
    <row r="16" spans="1:49" ht="15.6">
      <c r="A16" s="679"/>
      <c r="B16" s="198"/>
      <c r="C16" s="150" t="s">
        <v>1025</v>
      </c>
      <c r="D16" s="149"/>
      <c r="E16" s="150" t="s">
        <v>1511</v>
      </c>
      <c r="F16" s="149"/>
      <c r="G16" s="151" t="s">
        <v>83</v>
      </c>
      <c r="H16" s="149"/>
      <c r="I16" s="150" t="s">
        <v>85</v>
      </c>
      <c r="J16" s="198"/>
      <c r="K16" s="150" t="s">
        <v>85</v>
      </c>
      <c r="L16" s="198"/>
      <c r="M16" s="1198"/>
      <c r="N16" s="1199" t="s">
        <v>1025</v>
      </c>
      <c r="O16" s="149"/>
      <c r="P16" s="150" t="s">
        <v>1511</v>
      </c>
      <c r="Q16" s="149"/>
      <c r="R16" s="151" t="s">
        <v>83</v>
      </c>
      <c r="S16" s="149"/>
      <c r="T16" s="150" t="s">
        <v>85</v>
      </c>
      <c r="U16" s="198"/>
      <c r="V16" s="150" t="s">
        <v>85</v>
      </c>
      <c r="W16" s="148"/>
      <c r="X16" s="198"/>
      <c r="Y16" s="148"/>
      <c r="Z16" s="197"/>
      <c r="AA16" s="148"/>
      <c r="AB16" s="198"/>
      <c r="AC16" s="148"/>
      <c r="AD16" s="198"/>
      <c r="AE16" s="198"/>
      <c r="AF16" s="148"/>
      <c r="AG16" s="197"/>
      <c r="AH16" s="148"/>
      <c r="AI16" s="197"/>
      <c r="AJ16" s="198"/>
      <c r="AK16" s="148"/>
      <c r="AL16" s="198"/>
      <c r="AM16" s="198"/>
      <c r="AN16" s="148"/>
      <c r="AO16" s="197"/>
      <c r="AP16" s="148"/>
      <c r="AQ16" s="197"/>
      <c r="AR16" s="919"/>
      <c r="AS16" s="919"/>
      <c r="AT16" s="919"/>
      <c r="AU16" s="919"/>
      <c r="AV16" s="919"/>
      <c r="AW16" s="919"/>
    </row>
    <row r="17" spans="1:49">
      <c r="A17" s="152"/>
      <c r="B17" s="153"/>
      <c r="C17" s="154"/>
      <c r="D17" s="140"/>
      <c r="E17" s="154"/>
      <c r="F17" s="140"/>
      <c r="G17" s="154"/>
      <c r="H17" s="140"/>
      <c r="I17" s="154"/>
      <c r="J17" s="153"/>
      <c r="K17" s="154"/>
      <c r="L17" s="153"/>
      <c r="M17" s="1192"/>
      <c r="N17" s="153"/>
      <c r="O17" s="140"/>
      <c r="P17" s="154"/>
      <c r="Q17" s="140"/>
      <c r="R17" s="154"/>
      <c r="S17" s="140"/>
      <c r="T17" s="154"/>
      <c r="U17" s="153"/>
      <c r="V17" s="154"/>
      <c r="W17" s="153"/>
      <c r="X17" s="153"/>
      <c r="Y17" s="153"/>
      <c r="Z17" s="153"/>
      <c r="AA17" s="153"/>
      <c r="AB17" s="153"/>
      <c r="AC17" s="153"/>
      <c r="AD17" s="153"/>
      <c r="AE17" s="153"/>
      <c r="AF17" s="153"/>
      <c r="AG17" s="153"/>
      <c r="AH17" s="153"/>
      <c r="AI17" s="153"/>
      <c r="AJ17" s="153"/>
      <c r="AK17" s="153"/>
      <c r="AL17" s="153"/>
      <c r="AM17" s="153"/>
      <c r="AN17" s="153"/>
      <c r="AO17" s="153"/>
      <c r="AP17" s="153"/>
      <c r="AQ17" s="153"/>
      <c r="AR17" s="919"/>
      <c r="AS17" s="919"/>
      <c r="AT17" s="919"/>
      <c r="AU17" s="919"/>
      <c r="AV17" s="919"/>
      <c r="AW17" s="919"/>
    </row>
    <row r="18" spans="1:49" ht="15.6">
      <c r="A18" s="26" t="s">
        <v>13</v>
      </c>
      <c r="B18" s="912"/>
      <c r="C18" s="648"/>
      <c r="D18" s="648"/>
      <c r="E18" s="648"/>
      <c r="F18" s="648"/>
      <c r="G18" s="648"/>
      <c r="H18" s="648"/>
      <c r="I18" s="912"/>
      <c r="J18" s="648"/>
      <c r="K18" s="912"/>
      <c r="L18" s="912"/>
      <c r="M18" s="1193"/>
      <c r="N18" s="648"/>
      <c r="O18" s="648"/>
      <c r="P18" s="648"/>
      <c r="Q18" s="648"/>
      <c r="R18" s="648"/>
      <c r="S18" s="648"/>
      <c r="T18" s="648"/>
      <c r="U18" s="912"/>
      <c r="V18" s="912"/>
      <c r="W18" s="912"/>
      <c r="X18" s="912"/>
      <c r="Y18" s="912"/>
      <c r="Z18" s="912"/>
      <c r="AA18" s="912"/>
      <c r="AB18" s="912"/>
      <c r="AC18" s="912"/>
      <c r="AD18" s="912"/>
      <c r="AE18" s="912"/>
      <c r="AF18" s="912"/>
      <c r="AG18" s="912"/>
      <c r="AH18" s="912"/>
      <c r="AI18" s="912"/>
      <c r="AJ18" s="912"/>
      <c r="AK18" s="912"/>
      <c r="AL18" s="912"/>
      <c r="AM18" s="912"/>
      <c r="AN18" s="912"/>
      <c r="AO18" s="912"/>
      <c r="AP18" s="912"/>
      <c r="AQ18" s="912"/>
      <c r="AR18" s="919"/>
      <c r="AS18" s="919"/>
      <c r="AT18" s="919"/>
      <c r="AU18" s="919"/>
      <c r="AV18" s="919"/>
      <c r="AW18" s="919"/>
    </row>
    <row r="19" spans="1:49">
      <c r="A19" s="809" t="s">
        <v>86</v>
      </c>
      <c r="B19" s="913"/>
      <c r="C19" s="648"/>
      <c r="D19" s="913"/>
      <c r="E19" s="648"/>
      <c r="F19" s="913"/>
      <c r="G19" s="648"/>
      <c r="H19" s="913"/>
      <c r="I19" s="912"/>
      <c r="J19" s="648"/>
      <c r="K19" s="912"/>
      <c r="L19" s="912"/>
      <c r="M19" s="1193"/>
      <c r="N19" s="648"/>
      <c r="O19" s="913"/>
      <c r="P19" s="648"/>
      <c r="Q19" s="913"/>
      <c r="R19" s="648"/>
      <c r="S19" s="913"/>
      <c r="T19" s="648"/>
      <c r="U19" s="912"/>
      <c r="V19" s="912"/>
      <c r="W19" s="912"/>
      <c r="X19" s="912"/>
      <c r="Y19" s="912"/>
      <c r="Z19" s="912"/>
      <c r="AA19" s="933"/>
      <c r="AB19" s="912"/>
      <c r="AC19" s="912"/>
      <c r="AD19" s="912"/>
      <c r="AE19" s="912"/>
      <c r="AF19" s="912"/>
      <c r="AG19" s="912"/>
      <c r="AH19" s="912"/>
      <c r="AI19" s="912"/>
      <c r="AJ19" s="912"/>
      <c r="AK19" s="912"/>
      <c r="AL19" s="912"/>
      <c r="AM19" s="912"/>
      <c r="AN19" s="912"/>
      <c r="AO19" s="912"/>
      <c r="AP19" s="912"/>
      <c r="AQ19" s="912"/>
      <c r="AR19" s="919"/>
      <c r="AS19" s="919"/>
      <c r="AT19" s="919"/>
      <c r="AU19" s="919"/>
      <c r="AV19" s="919"/>
      <c r="AW19" s="919"/>
    </row>
    <row r="20" spans="1:49">
      <c r="A20" s="809" t="s">
        <v>87</v>
      </c>
      <c r="B20" s="913" t="s">
        <v>14</v>
      </c>
      <c r="C20" s="2034">
        <v>1970</v>
      </c>
      <c r="D20" s="651"/>
      <c r="E20" s="2034">
        <v>1866</v>
      </c>
      <c r="F20" s="651"/>
      <c r="G20" s="649">
        <f>'Exhibit G State'!AD17</f>
        <v>1866.1</v>
      </c>
      <c r="H20" s="651"/>
      <c r="I20" s="959">
        <f>G20-C20</f>
        <v>-103.90000000000009</v>
      </c>
      <c r="J20" s="649"/>
      <c r="K20" s="959">
        <f>G20-E20</f>
        <v>9.9999999999909051E-2</v>
      </c>
      <c r="L20" s="959"/>
      <c r="M20" s="1193"/>
      <c r="N20" s="2034">
        <v>0</v>
      </c>
      <c r="O20" s="881"/>
      <c r="P20" s="2034">
        <v>0</v>
      </c>
      <c r="Q20" s="651"/>
      <c r="R20" s="649">
        <v>0</v>
      </c>
      <c r="S20" s="651"/>
      <c r="T20" s="959">
        <f>R20-N20</f>
        <v>0</v>
      </c>
      <c r="U20" s="912"/>
      <c r="V20" s="959">
        <f>R20-P20</f>
        <v>0</v>
      </c>
      <c r="W20" s="957"/>
      <c r="X20" s="960"/>
      <c r="Y20" s="957"/>
      <c r="Z20" s="958"/>
      <c r="AA20" s="957"/>
      <c r="AB20" s="959"/>
      <c r="AC20" s="912"/>
      <c r="AD20" s="912"/>
      <c r="AE20" s="912"/>
      <c r="AF20" s="912"/>
      <c r="AG20" s="912"/>
      <c r="AH20" s="912"/>
      <c r="AI20" s="912"/>
      <c r="AJ20" s="912"/>
      <c r="AK20" s="912"/>
      <c r="AL20" s="912"/>
      <c r="AM20" s="912"/>
      <c r="AN20" s="912"/>
      <c r="AO20" s="912"/>
      <c r="AP20" s="912"/>
      <c r="AQ20" s="912"/>
      <c r="AR20" s="919"/>
      <c r="AS20" s="919"/>
      <c r="AT20" s="919"/>
      <c r="AU20" s="919"/>
      <c r="AV20" s="919"/>
      <c r="AW20" s="919"/>
    </row>
    <row r="21" spans="1:49">
      <c r="A21" s="809" t="s">
        <v>88</v>
      </c>
      <c r="B21" s="912" t="s">
        <v>14</v>
      </c>
      <c r="C21" s="1110">
        <v>1579</v>
      </c>
      <c r="D21" s="1511"/>
      <c r="E21" s="1110">
        <v>1693</v>
      </c>
      <c r="F21" s="634"/>
      <c r="G21" s="634">
        <f>'Exhibit G State'!AD28</f>
        <v>1680.2</v>
      </c>
      <c r="H21" s="634"/>
      <c r="I21" s="1511">
        <f>ROUND(SUM(G21)-SUM(C21),1)</f>
        <v>101.2</v>
      </c>
      <c r="J21" s="634"/>
      <c r="K21" s="931">
        <f>G21-E21</f>
        <v>-12.799999999999955</v>
      </c>
      <c r="L21" s="931"/>
      <c r="M21" s="1193"/>
      <c r="N21" s="1110">
        <v>0</v>
      </c>
      <c r="O21" s="883"/>
      <c r="P21" s="1110">
        <v>0</v>
      </c>
      <c r="Q21" s="634"/>
      <c r="R21" s="634">
        <v>0</v>
      </c>
      <c r="S21" s="634"/>
      <c r="T21" s="1511">
        <f>ROUND(SUM(R21)-SUM(N21),1)</f>
        <v>0</v>
      </c>
      <c r="U21" s="912"/>
      <c r="V21" s="931">
        <f>R21-P21</f>
        <v>0</v>
      </c>
      <c r="W21" s="931"/>
      <c r="X21" s="960"/>
      <c r="Y21" s="931"/>
      <c r="Z21" s="931"/>
      <c r="AA21" s="931"/>
      <c r="AB21" s="931"/>
      <c r="AC21" s="931"/>
      <c r="AD21" s="931"/>
      <c r="AE21" s="912"/>
      <c r="AF21" s="912"/>
      <c r="AG21" s="912"/>
      <c r="AH21" s="912"/>
      <c r="AI21" s="912"/>
      <c r="AJ21" s="912"/>
      <c r="AK21" s="912"/>
      <c r="AL21" s="912"/>
      <c r="AM21" s="912"/>
      <c r="AN21" s="912"/>
      <c r="AO21" s="912"/>
      <c r="AP21" s="912"/>
      <c r="AQ21" s="912"/>
      <c r="AR21" s="919"/>
      <c r="AS21" s="919"/>
      <c r="AT21" s="919"/>
      <c r="AU21" s="919"/>
      <c r="AV21" s="919"/>
      <c r="AW21" s="919"/>
    </row>
    <row r="22" spans="1:49">
      <c r="A22" s="809" t="s">
        <v>89</v>
      </c>
      <c r="B22" s="913" t="s">
        <v>14</v>
      </c>
      <c r="C22" s="1110">
        <v>1513</v>
      </c>
      <c r="D22" s="671"/>
      <c r="E22" s="1110">
        <v>1766</v>
      </c>
      <c r="F22" s="671"/>
      <c r="G22" s="634">
        <f>'Exhibit G State'!AD35</f>
        <v>1755</v>
      </c>
      <c r="H22" s="671"/>
      <c r="I22" s="1511">
        <f>ROUND(SUM(G22)-SUM(C22),1)</f>
        <v>242</v>
      </c>
      <c r="J22" s="634"/>
      <c r="K22" s="931">
        <f t="shared" ref="K22:K25" si="0">G22-E22</f>
        <v>-11</v>
      </c>
      <c r="L22" s="931"/>
      <c r="M22" s="1193"/>
      <c r="N22" s="1110">
        <v>0</v>
      </c>
      <c r="O22" s="673"/>
      <c r="P22" s="1110">
        <v>0</v>
      </c>
      <c r="Q22" s="671"/>
      <c r="R22" s="920">
        <v>0</v>
      </c>
      <c r="S22" s="671"/>
      <c r="T22" s="1511">
        <f t="shared" ref="T22" si="1">ROUND(SUM(R22)-SUM(N22),1)</f>
        <v>0</v>
      </c>
      <c r="U22" s="912"/>
      <c r="V22" s="931">
        <f t="shared" ref="V22:V25" si="2">R22-P22</f>
        <v>0</v>
      </c>
      <c r="W22" s="932"/>
      <c r="X22" s="960"/>
      <c r="Y22" s="932"/>
      <c r="Z22" s="931"/>
      <c r="AA22" s="932"/>
      <c r="AB22" s="931"/>
      <c r="AC22" s="932"/>
      <c r="AD22" s="931"/>
      <c r="AE22" s="912"/>
      <c r="AF22" s="933"/>
      <c r="AG22" s="912"/>
      <c r="AH22" s="933"/>
      <c r="AI22" s="912"/>
      <c r="AJ22" s="912"/>
      <c r="AK22" s="933"/>
      <c r="AL22" s="912"/>
      <c r="AM22" s="912"/>
      <c r="AN22" s="933"/>
      <c r="AO22" s="200"/>
      <c r="AP22" s="933"/>
      <c r="AQ22" s="912"/>
      <c r="AR22" s="919"/>
      <c r="AS22" s="919"/>
      <c r="AT22" s="919"/>
      <c r="AU22" s="919"/>
      <c r="AV22" s="919"/>
      <c r="AW22" s="919"/>
    </row>
    <row r="23" spans="1:49" ht="15" customHeight="1">
      <c r="A23" s="809" t="s">
        <v>19</v>
      </c>
      <c r="B23" s="912" t="s">
        <v>14</v>
      </c>
      <c r="C23" s="1110">
        <v>13534</v>
      </c>
      <c r="D23" s="930"/>
      <c r="E23" s="1110">
        <v>16256</v>
      </c>
      <c r="F23" s="930"/>
      <c r="G23" s="634">
        <f>'Exhibit G State'!AD81</f>
        <v>15472.9</v>
      </c>
      <c r="H23" s="634"/>
      <c r="I23" s="1511">
        <f>ROUND(SUM(G23)-SUM(C23),1)</f>
        <v>1938.9</v>
      </c>
      <c r="J23" s="634"/>
      <c r="K23" s="931">
        <f t="shared" si="0"/>
        <v>-783.10000000000036</v>
      </c>
      <c r="L23" s="931"/>
      <c r="M23" s="1193"/>
      <c r="N23" s="1110">
        <v>215</v>
      </c>
      <c r="O23" s="1953"/>
      <c r="P23" s="1110">
        <v>164</v>
      </c>
      <c r="Q23" s="930"/>
      <c r="R23" s="675">
        <f>'Exhibit G Federal'!AD52</f>
        <v>154.6</v>
      </c>
      <c r="S23" s="634"/>
      <c r="T23" s="1511">
        <f>ROUND(SUM(R23)-SUM(N23),1)</f>
        <v>-60.4</v>
      </c>
      <c r="U23" s="912"/>
      <c r="V23" s="931">
        <f t="shared" si="2"/>
        <v>-9.4000000000000057</v>
      </c>
      <c r="W23" s="931"/>
      <c r="X23" s="960"/>
      <c r="Y23" s="931"/>
      <c r="Z23" s="931"/>
      <c r="AA23" s="931"/>
      <c r="AB23" s="931"/>
      <c r="AC23" s="931"/>
      <c r="AD23" s="931"/>
      <c r="AE23" s="912"/>
      <c r="AF23" s="912"/>
      <c r="AG23" s="912"/>
      <c r="AH23" s="912"/>
      <c r="AI23" s="912"/>
      <c r="AJ23" s="912"/>
      <c r="AK23" s="912"/>
      <c r="AL23" s="912"/>
      <c r="AM23" s="912"/>
      <c r="AN23" s="912"/>
      <c r="AO23" s="912"/>
      <c r="AP23" s="912"/>
      <c r="AQ23" s="912"/>
      <c r="AR23" s="919"/>
      <c r="AS23" s="919"/>
      <c r="AT23" s="919"/>
      <c r="AU23" s="919"/>
      <c r="AV23" s="919"/>
      <c r="AW23" s="919"/>
    </row>
    <row r="24" spans="1:49" ht="15" customHeight="1">
      <c r="A24" s="809" t="s">
        <v>20</v>
      </c>
      <c r="B24" s="912" t="s">
        <v>14</v>
      </c>
      <c r="C24" s="1110">
        <v>286</v>
      </c>
      <c r="D24" s="1511"/>
      <c r="E24" s="1110">
        <v>129</v>
      </c>
      <c r="F24" s="634"/>
      <c r="G24" s="675">
        <f>'Exhibit G State'!AD83</f>
        <v>29.1</v>
      </c>
      <c r="H24" s="634"/>
      <c r="I24" s="1511">
        <f>ROUND(SUM(G24)-SUM(C24),1)</f>
        <v>-256.89999999999998</v>
      </c>
      <c r="J24" s="634"/>
      <c r="K24" s="931">
        <f t="shared" si="0"/>
        <v>-99.9</v>
      </c>
      <c r="L24" s="931"/>
      <c r="M24" s="1193"/>
      <c r="N24" s="1110">
        <v>81234</v>
      </c>
      <c r="O24" s="883"/>
      <c r="P24" s="1110">
        <v>81130</v>
      </c>
      <c r="Q24" s="634"/>
      <c r="R24" s="675">
        <f>'Exhibit G Federal'!AD54</f>
        <v>80027.600000000006</v>
      </c>
      <c r="S24" s="634"/>
      <c r="T24" s="1511">
        <f>ROUND(SUM(R24)-SUM(N24),1)</f>
        <v>-1206.4000000000001</v>
      </c>
      <c r="U24" s="912"/>
      <c r="V24" s="931">
        <f t="shared" si="2"/>
        <v>-1102.3999999999942</v>
      </c>
      <c r="W24" s="931"/>
      <c r="X24" s="960"/>
      <c r="Y24" s="931"/>
      <c r="Z24" s="931"/>
      <c r="AA24" s="931"/>
      <c r="AB24" s="931"/>
      <c r="AC24" s="931"/>
      <c r="AD24" s="934"/>
      <c r="AE24" s="935"/>
      <c r="AF24" s="912"/>
      <c r="AG24" s="935"/>
      <c r="AH24" s="912"/>
      <c r="AI24" s="935"/>
      <c r="AJ24" s="936"/>
      <c r="AK24" s="912"/>
      <c r="AL24" s="912"/>
      <c r="AM24" s="912"/>
      <c r="AN24" s="912"/>
      <c r="AO24" s="912"/>
      <c r="AP24" s="912"/>
      <c r="AQ24" s="912"/>
      <c r="AR24" s="919"/>
      <c r="AS24" s="919"/>
      <c r="AT24" s="919"/>
      <c r="AU24" s="919"/>
      <c r="AV24" s="919"/>
      <c r="AW24" s="919"/>
    </row>
    <row r="25" spans="1:49">
      <c r="A25" s="809" t="s">
        <v>46</v>
      </c>
      <c r="B25" s="936" t="s">
        <v>14</v>
      </c>
      <c r="C25" s="1110">
        <v>2334</v>
      </c>
      <c r="D25" s="931"/>
      <c r="E25" s="1110">
        <v>2740</v>
      </c>
      <c r="F25" s="931"/>
      <c r="G25" s="1020">
        <f>'Exhibit G State'!AD112</f>
        <v>2743.2</v>
      </c>
      <c r="H25" s="634"/>
      <c r="I25" s="1511">
        <f>ROUND(SUM(G25)-SUM(C25),1)</f>
        <v>409.2</v>
      </c>
      <c r="J25" s="931"/>
      <c r="K25" s="931">
        <f t="shared" si="0"/>
        <v>3.1999999999998181</v>
      </c>
      <c r="L25" s="931"/>
      <c r="M25" s="1194"/>
      <c r="N25" s="1110">
        <v>0</v>
      </c>
      <c r="O25" s="883"/>
      <c r="P25" s="1110">
        <v>0</v>
      </c>
      <c r="Q25" s="931"/>
      <c r="R25" s="1020">
        <f>+'Exhibit G Federal'!AD85</f>
        <v>0</v>
      </c>
      <c r="S25" s="634"/>
      <c r="T25" s="1511">
        <f>ROUND(SUM(R25)-SUM(N25),1)</f>
        <v>0</v>
      </c>
      <c r="U25" s="936"/>
      <c r="V25" s="931">
        <f t="shared" si="2"/>
        <v>0</v>
      </c>
      <c r="W25" s="931"/>
      <c r="X25" s="960"/>
      <c r="Y25" s="931"/>
      <c r="Z25" s="932"/>
      <c r="AA25" s="931"/>
      <c r="AB25" s="931"/>
      <c r="AC25" s="931"/>
      <c r="AD25" s="934"/>
      <c r="AE25" s="935"/>
      <c r="AF25" s="912"/>
      <c r="AG25" s="935"/>
      <c r="AH25" s="912"/>
      <c r="AI25" s="935"/>
      <c r="AJ25" s="936"/>
      <c r="AK25" s="912"/>
      <c r="AL25" s="912"/>
      <c r="AM25" s="912"/>
      <c r="AN25" s="912"/>
      <c r="AO25" s="912"/>
      <c r="AP25" s="912"/>
      <c r="AQ25" s="912"/>
      <c r="AR25" s="919"/>
      <c r="AS25" s="919"/>
      <c r="AT25" s="919"/>
      <c r="AU25" s="919"/>
      <c r="AV25" s="919"/>
      <c r="AW25" s="919"/>
    </row>
    <row r="26" spans="1:49" ht="18" customHeight="1">
      <c r="A26" s="170" t="s">
        <v>107</v>
      </c>
      <c r="B26" s="148" t="s">
        <v>14</v>
      </c>
      <c r="C26" s="212">
        <f>ROUND(SUM(C20:C25),1)</f>
        <v>21216</v>
      </c>
      <c r="D26" s="910"/>
      <c r="E26" s="212">
        <f>ROUND(SUM(E20:E25),1)</f>
        <v>24450</v>
      </c>
      <c r="F26" s="910"/>
      <c r="G26" s="212">
        <f>ROUND(SUM(G20:G25),1)</f>
        <v>23546.5</v>
      </c>
      <c r="H26" s="910"/>
      <c r="I26" s="1522">
        <f>ROUND(SUM(I20:I25),1)</f>
        <v>2330.5</v>
      </c>
      <c r="J26" s="73"/>
      <c r="K26" s="1522">
        <f>ROUND(SUM(K20:K25),1)</f>
        <v>-903.5</v>
      </c>
      <c r="L26" s="73"/>
      <c r="M26" s="1193"/>
      <c r="N26" s="212">
        <f>ROUND(SUM(N20:N25),1)</f>
        <v>81449</v>
      </c>
      <c r="O26" s="910"/>
      <c r="P26" s="212">
        <f>ROUND(SUM(P20:P25),1)</f>
        <v>81294</v>
      </c>
      <c r="Q26" s="910"/>
      <c r="R26" s="291">
        <f>ROUND(SUM(R20:R25),1)</f>
        <v>80182.2</v>
      </c>
      <c r="S26" s="910"/>
      <c r="T26" s="291">
        <f>ROUND(SUM(T20:T25),1)</f>
        <v>-1266.8</v>
      </c>
      <c r="U26" s="148"/>
      <c r="V26" s="1522">
        <f>ROUND(SUM(V20:V25),1)</f>
        <v>-1111.8</v>
      </c>
      <c r="W26" s="73"/>
      <c r="X26" s="73"/>
      <c r="Y26" s="73"/>
      <c r="Z26" s="73"/>
      <c r="AA26" s="73"/>
      <c r="AB26" s="73"/>
      <c r="AC26" s="73"/>
      <c r="AD26" s="73"/>
      <c r="AE26" s="148"/>
      <c r="AF26" s="148"/>
      <c r="AG26" s="148"/>
      <c r="AH26" s="148"/>
      <c r="AI26" s="148"/>
      <c r="AJ26" s="148"/>
      <c r="AK26" s="148"/>
      <c r="AL26" s="148"/>
      <c r="AM26" s="148"/>
      <c r="AN26" s="148"/>
      <c r="AO26" s="148"/>
      <c r="AP26" s="148"/>
      <c r="AQ26" s="148"/>
      <c r="AR26" s="919"/>
      <c r="AS26" s="919"/>
      <c r="AT26" s="919"/>
      <c r="AU26" s="919"/>
      <c r="AV26" s="919"/>
      <c r="AW26" s="919"/>
    </row>
    <row r="27" spans="1:49">
      <c r="A27" s="679"/>
      <c r="B27" s="912"/>
      <c r="C27" s="677"/>
      <c r="D27" s="634"/>
      <c r="E27" s="677"/>
      <c r="F27" s="634"/>
      <c r="G27" s="677"/>
      <c r="H27" s="634"/>
      <c r="I27" s="931"/>
      <c r="J27" s="931"/>
      <c r="K27" s="931"/>
      <c r="L27" s="931"/>
      <c r="M27" s="1193"/>
      <c r="N27" s="677"/>
      <c r="O27" s="1511"/>
      <c r="P27" s="677"/>
      <c r="Q27" s="634"/>
      <c r="R27" s="677"/>
      <c r="S27" s="634"/>
      <c r="T27" s="931"/>
      <c r="U27" s="912"/>
      <c r="V27" s="931"/>
      <c r="W27" s="931"/>
      <c r="X27" s="931"/>
      <c r="Y27" s="931"/>
      <c r="Z27" s="931"/>
      <c r="AA27" s="931"/>
      <c r="AB27" s="931"/>
      <c r="AC27" s="931"/>
      <c r="AD27" s="931"/>
      <c r="AE27" s="912"/>
      <c r="AF27" s="912"/>
      <c r="AG27" s="912"/>
      <c r="AH27" s="912"/>
      <c r="AI27" s="912"/>
      <c r="AJ27" s="912"/>
      <c r="AK27" s="912"/>
      <c r="AL27" s="912"/>
      <c r="AM27" s="912"/>
      <c r="AN27" s="912"/>
      <c r="AO27" s="912"/>
      <c r="AP27" s="912"/>
      <c r="AQ27" s="912"/>
      <c r="AR27" s="919"/>
      <c r="AS27" s="919"/>
      <c r="AT27" s="919"/>
      <c r="AU27" s="919"/>
      <c r="AV27" s="919"/>
      <c r="AW27" s="919"/>
    </row>
    <row r="28" spans="1:49" ht="15.6">
      <c r="A28" s="26" t="s">
        <v>22</v>
      </c>
      <c r="B28" s="912"/>
      <c r="C28" s="634"/>
      <c r="D28" s="634"/>
      <c r="E28" s="1511"/>
      <c r="F28" s="634"/>
      <c r="G28" s="634"/>
      <c r="H28" s="634"/>
      <c r="I28" s="931"/>
      <c r="J28" s="931"/>
      <c r="K28" s="931"/>
      <c r="L28" s="931"/>
      <c r="M28" s="1193"/>
      <c r="N28" s="1511"/>
      <c r="O28" s="1511"/>
      <c r="P28" s="1511"/>
      <c r="Q28" s="634"/>
      <c r="R28" s="634"/>
      <c r="S28" s="634"/>
      <c r="T28" s="634"/>
      <c r="U28" s="912"/>
      <c r="V28" s="931"/>
      <c r="W28" s="931"/>
      <c r="X28" s="931"/>
      <c r="Y28" s="931"/>
      <c r="Z28" s="931"/>
      <c r="AA28" s="931"/>
      <c r="AB28" s="931"/>
      <c r="AC28" s="931"/>
      <c r="AD28" s="931"/>
      <c r="AE28" s="912"/>
      <c r="AF28" s="912"/>
      <c r="AG28" s="912"/>
      <c r="AH28" s="912"/>
      <c r="AI28" s="912"/>
      <c r="AJ28" s="912"/>
      <c r="AK28" s="912"/>
      <c r="AL28" s="912"/>
      <c r="AM28" s="912"/>
      <c r="AN28" s="912"/>
      <c r="AO28" s="912"/>
      <c r="AP28" s="912"/>
      <c r="AQ28" s="912"/>
      <c r="AR28" s="919"/>
      <c r="AS28" s="919"/>
      <c r="AT28" s="919"/>
      <c r="AU28" s="919"/>
      <c r="AV28" s="919"/>
      <c r="AW28" s="919"/>
    </row>
    <row r="29" spans="1:49">
      <c r="A29" s="809" t="s">
        <v>92</v>
      </c>
      <c r="B29" s="933" t="s">
        <v>14</v>
      </c>
      <c r="C29" s="1110">
        <v>14389</v>
      </c>
      <c r="D29" s="1511"/>
      <c r="E29" s="1110">
        <v>14740</v>
      </c>
      <c r="F29" s="634"/>
      <c r="G29" s="671">
        <f>'Exhibit G State'!AD99</f>
        <v>14546.5</v>
      </c>
      <c r="H29" s="634"/>
      <c r="I29" s="1511">
        <f t="shared" ref="I29:I34" si="3">ROUND(SUM(G29)-SUM(C29),1)</f>
        <v>157.5</v>
      </c>
      <c r="J29" s="931"/>
      <c r="K29" s="931">
        <f t="shared" ref="K29:K34" si="4">G29-E29</f>
        <v>-193.5</v>
      </c>
      <c r="L29" s="931"/>
      <c r="M29" s="1193"/>
      <c r="N29" s="1110">
        <v>61598</v>
      </c>
      <c r="O29" s="1511"/>
      <c r="P29" s="1110">
        <v>59709</v>
      </c>
      <c r="Q29" s="634"/>
      <c r="R29" s="671">
        <f>'Exhibit G Federal'!AD70</f>
        <v>58849</v>
      </c>
      <c r="S29" s="634"/>
      <c r="T29" s="1511">
        <f t="shared" ref="T29:T34" si="5">ROUND(SUM(R29)-SUM(N29),1)</f>
        <v>-2749</v>
      </c>
      <c r="U29" s="912"/>
      <c r="V29" s="931">
        <f t="shared" ref="V29:V34" si="6">R29-P29</f>
        <v>-860</v>
      </c>
      <c r="W29" s="931"/>
      <c r="X29" s="960"/>
      <c r="Y29" s="931"/>
      <c r="Z29" s="931"/>
      <c r="AA29" s="931"/>
      <c r="AB29" s="931"/>
      <c r="AC29" s="931"/>
      <c r="AD29" s="934"/>
      <c r="AE29" s="935"/>
      <c r="AF29" s="912"/>
      <c r="AG29" s="935"/>
      <c r="AH29" s="912"/>
      <c r="AI29" s="935"/>
      <c r="AJ29" s="936"/>
      <c r="AK29" s="912"/>
      <c r="AL29" s="912"/>
      <c r="AM29" s="912"/>
      <c r="AN29" s="912"/>
      <c r="AO29" s="912"/>
      <c r="AP29" s="912"/>
      <c r="AQ29" s="912"/>
      <c r="AR29" s="919"/>
      <c r="AS29" s="919"/>
      <c r="AT29" s="919"/>
      <c r="AU29" s="919"/>
      <c r="AV29" s="919"/>
      <c r="AW29" s="919"/>
    </row>
    <row r="30" spans="1:49">
      <c r="A30" s="809" t="s">
        <v>93</v>
      </c>
      <c r="B30" s="933" t="s">
        <v>14</v>
      </c>
      <c r="C30" s="1110">
        <v>5857</v>
      </c>
      <c r="D30" s="1511"/>
      <c r="E30" s="1110">
        <v>6584</v>
      </c>
      <c r="F30" s="634"/>
      <c r="G30" s="671">
        <f>'Exhibit G State'!AD101+'Exhibit G State'!AD102</f>
        <v>6535.4000000000005</v>
      </c>
      <c r="H30" s="634"/>
      <c r="I30" s="1511">
        <f t="shared" si="3"/>
        <v>678.4</v>
      </c>
      <c r="J30" s="931"/>
      <c r="K30" s="931">
        <f t="shared" si="4"/>
        <v>-48.599999999999454</v>
      </c>
      <c r="L30" s="931"/>
      <c r="M30" s="1193"/>
      <c r="N30" s="1110">
        <v>4128</v>
      </c>
      <c r="O30" s="1511"/>
      <c r="P30" s="1110">
        <v>3903</v>
      </c>
      <c r="Q30" s="634"/>
      <c r="R30" s="671">
        <f>'Exhibit G Federal'!AD72+'Exhibit G Federal'!AD73</f>
        <v>3831</v>
      </c>
      <c r="S30" s="634"/>
      <c r="T30" s="1511">
        <f t="shared" si="5"/>
        <v>-297</v>
      </c>
      <c r="U30" s="912"/>
      <c r="V30" s="931">
        <f t="shared" si="6"/>
        <v>-72</v>
      </c>
      <c r="W30" s="931"/>
      <c r="X30" s="960"/>
      <c r="Y30" s="931"/>
      <c r="Z30" s="931"/>
      <c r="AA30" s="931"/>
      <c r="AB30" s="931"/>
      <c r="AC30" s="931"/>
      <c r="AD30" s="932"/>
      <c r="AE30" s="933"/>
      <c r="AF30" s="912"/>
      <c r="AG30" s="933"/>
      <c r="AH30" s="912"/>
      <c r="AI30" s="935"/>
      <c r="AJ30" s="912"/>
      <c r="AK30" s="912"/>
      <c r="AL30" s="935"/>
      <c r="AM30" s="935"/>
      <c r="AN30" s="912"/>
      <c r="AO30" s="935"/>
      <c r="AP30" s="912"/>
      <c r="AQ30" s="935"/>
      <c r="AR30" s="919"/>
      <c r="AS30" s="919"/>
      <c r="AT30" s="919"/>
      <c r="AU30" s="919"/>
      <c r="AV30" s="919"/>
      <c r="AW30" s="919"/>
    </row>
    <row r="31" spans="1:49">
      <c r="A31" s="809" t="s">
        <v>68</v>
      </c>
      <c r="B31" s="933" t="s">
        <v>14</v>
      </c>
      <c r="C31" s="1110">
        <v>879</v>
      </c>
      <c r="D31" s="1511"/>
      <c r="E31" s="1110">
        <v>937</v>
      </c>
      <c r="F31" s="634"/>
      <c r="G31" s="671">
        <f>'Exhibit G State'!AD103</f>
        <v>917.2</v>
      </c>
      <c r="H31" s="634"/>
      <c r="I31" s="1511">
        <f t="shared" si="3"/>
        <v>38.200000000000003</v>
      </c>
      <c r="J31" s="931"/>
      <c r="K31" s="931">
        <f t="shared" si="4"/>
        <v>-19.799999999999955</v>
      </c>
      <c r="L31" s="931"/>
      <c r="M31" s="1193"/>
      <c r="N31" s="1110">
        <v>373</v>
      </c>
      <c r="O31" s="1511"/>
      <c r="P31" s="1110">
        <v>931</v>
      </c>
      <c r="Q31" s="634"/>
      <c r="R31" s="671">
        <f>'Exhibit G Federal'!AD74</f>
        <v>939.7</v>
      </c>
      <c r="S31" s="634"/>
      <c r="T31" s="1511">
        <f t="shared" si="5"/>
        <v>566.70000000000005</v>
      </c>
      <c r="U31" s="912"/>
      <c r="V31" s="931">
        <f t="shared" si="6"/>
        <v>8.7000000000000455</v>
      </c>
      <c r="W31" s="931"/>
      <c r="X31" s="960"/>
      <c r="Y31" s="931"/>
      <c r="Z31" s="931"/>
      <c r="AA31" s="931"/>
      <c r="AB31" s="931"/>
      <c r="AC31" s="931"/>
      <c r="AD31" s="934"/>
      <c r="AE31" s="935"/>
      <c r="AF31" s="912"/>
      <c r="AG31" s="935"/>
      <c r="AH31" s="912"/>
      <c r="AI31" s="935"/>
      <c r="AJ31" s="936"/>
      <c r="AK31" s="912"/>
      <c r="AL31" s="935"/>
      <c r="AM31" s="935"/>
      <c r="AN31" s="912"/>
      <c r="AO31" s="935"/>
      <c r="AP31" s="912"/>
      <c r="AQ31" s="935"/>
      <c r="AR31" s="919"/>
      <c r="AS31" s="919"/>
      <c r="AT31" s="919"/>
      <c r="AU31" s="919"/>
      <c r="AV31" s="919"/>
      <c r="AW31" s="919"/>
    </row>
    <row r="32" spans="1:49">
      <c r="A32" s="809" t="s">
        <v>94</v>
      </c>
      <c r="B32" s="933"/>
      <c r="C32" s="1110">
        <v>0</v>
      </c>
      <c r="D32" s="1511"/>
      <c r="E32" s="1110">
        <v>0</v>
      </c>
      <c r="F32" s="1511"/>
      <c r="G32" s="671">
        <v>0</v>
      </c>
      <c r="H32" s="1511"/>
      <c r="I32" s="1511">
        <f t="shared" si="3"/>
        <v>0</v>
      </c>
      <c r="J32" s="931"/>
      <c r="K32" s="931">
        <f t="shared" si="4"/>
        <v>0</v>
      </c>
      <c r="L32" s="931"/>
      <c r="M32" s="1193"/>
      <c r="N32" s="1110">
        <v>42</v>
      </c>
      <c r="O32" s="1511"/>
      <c r="P32" s="1110">
        <v>42</v>
      </c>
      <c r="Q32" s="1511"/>
      <c r="R32" s="671">
        <f>'Exhibit G Federal'!AD76</f>
        <v>42.3</v>
      </c>
      <c r="S32" s="1511"/>
      <c r="T32" s="1511">
        <f t="shared" si="5"/>
        <v>0.3</v>
      </c>
      <c r="U32" s="912"/>
      <c r="V32" s="931">
        <f t="shared" si="6"/>
        <v>0.29999999999999716</v>
      </c>
      <c r="W32" s="931"/>
      <c r="X32" s="960"/>
      <c r="Y32" s="931"/>
      <c r="Z32" s="931"/>
      <c r="AA32" s="931"/>
      <c r="AB32" s="931"/>
      <c r="AC32" s="931"/>
      <c r="AD32" s="934"/>
      <c r="AE32" s="935"/>
      <c r="AF32" s="912"/>
      <c r="AG32" s="935"/>
      <c r="AH32" s="912"/>
      <c r="AI32" s="935"/>
      <c r="AJ32" s="936"/>
      <c r="AK32" s="912"/>
      <c r="AL32" s="935"/>
      <c r="AM32" s="935"/>
      <c r="AN32" s="912"/>
      <c r="AO32" s="935"/>
      <c r="AP32" s="912"/>
      <c r="AQ32" s="935"/>
      <c r="AR32" s="919"/>
      <c r="AS32" s="919"/>
      <c r="AT32" s="919"/>
      <c r="AU32" s="919"/>
      <c r="AV32" s="919"/>
      <c r="AW32" s="919"/>
    </row>
    <row r="33" spans="1:49">
      <c r="A33" s="809" t="s">
        <v>41</v>
      </c>
      <c r="B33" s="936" t="s">
        <v>14</v>
      </c>
      <c r="C33" s="1110">
        <v>0</v>
      </c>
      <c r="D33" s="1511"/>
      <c r="E33" s="1110">
        <v>0</v>
      </c>
      <c r="F33" s="634"/>
      <c r="G33" s="650">
        <f>'Exhibit G State'!AD104</f>
        <v>0</v>
      </c>
      <c r="H33" s="634"/>
      <c r="I33" s="1511">
        <f t="shared" si="3"/>
        <v>0</v>
      </c>
      <c r="J33" s="931"/>
      <c r="K33" s="931">
        <f t="shared" si="4"/>
        <v>0</v>
      </c>
      <c r="L33" s="931"/>
      <c r="M33" s="1194"/>
      <c r="N33" s="1110">
        <v>0</v>
      </c>
      <c r="O33" s="1511"/>
      <c r="P33" s="1110">
        <v>0</v>
      </c>
      <c r="Q33" s="634"/>
      <c r="R33" s="671">
        <f>'Exhibit G Federal'!AD77</f>
        <v>0</v>
      </c>
      <c r="S33" s="634"/>
      <c r="T33" s="1511">
        <f t="shared" si="5"/>
        <v>0</v>
      </c>
      <c r="U33" s="936"/>
      <c r="V33" s="931">
        <f t="shared" si="6"/>
        <v>0</v>
      </c>
      <c r="W33" s="931"/>
      <c r="X33" s="960"/>
      <c r="Y33" s="931"/>
      <c r="Z33" s="931"/>
      <c r="AA33" s="931"/>
      <c r="AB33" s="931"/>
      <c r="AC33" s="931"/>
      <c r="AD33" s="934"/>
      <c r="AE33" s="935"/>
      <c r="AF33" s="912"/>
      <c r="AG33" s="935"/>
      <c r="AH33" s="912"/>
      <c r="AI33" s="935"/>
      <c r="AJ33" s="936"/>
      <c r="AK33" s="912"/>
      <c r="AL33" s="912"/>
      <c r="AM33" s="912"/>
      <c r="AN33" s="912"/>
      <c r="AO33" s="912"/>
      <c r="AP33" s="912"/>
      <c r="AQ33" s="912"/>
      <c r="AR33" s="919"/>
      <c r="AS33" s="919"/>
      <c r="AT33" s="919"/>
      <c r="AU33" s="919"/>
      <c r="AV33" s="919"/>
      <c r="AW33" s="919"/>
    </row>
    <row r="34" spans="1:49">
      <c r="A34" s="809" t="s">
        <v>97</v>
      </c>
      <c r="B34" s="936" t="s">
        <v>14</v>
      </c>
      <c r="C34" s="1110">
        <v>239</v>
      </c>
      <c r="D34" s="1511"/>
      <c r="E34" s="1110">
        <v>244</v>
      </c>
      <c r="F34" s="634"/>
      <c r="G34" s="675">
        <f>-'Exhibit G State'!AD113</f>
        <v>254.2</v>
      </c>
      <c r="H34" s="634"/>
      <c r="I34" s="1511">
        <f t="shared" si="3"/>
        <v>15.2</v>
      </c>
      <c r="J34" s="931"/>
      <c r="K34" s="931">
        <f t="shared" si="4"/>
        <v>10.199999999999989</v>
      </c>
      <c r="L34" s="931"/>
      <c r="M34" s="1194"/>
      <c r="N34" s="1110">
        <v>1789</v>
      </c>
      <c r="O34" s="1511"/>
      <c r="P34" s="1110">
        <v>1679</v>
      </c>
      <c r="Q34" s="634"/>
      <c r="R34" s="675">
        <f>-'Exhibit G Federal'!AD86</f>
        <v>1650.6</v>
      </c>
      <c r="S34" s="634"/>
      <c r="T34" s="1511">
        <f t="shared" si="5"/>
        <v>-138.4</v>
      </c>
      <c r="U34" s="936"/>
      <c r="V34" s="931">
        <f t="shared" si="6"/>
        <v>-28.400000000000091</v>
      </c>
      <c r="W34" s="931"/>
      <c r="X34" s="960"/>
      <c r="Y34" s="931"/>
      <c r="Z34" s="932"/>
      <c r="AA34" s="931"/>
      <c r="AB34" s="931"/>
      <c r="AC34" s="931"/>
      <c r="AD34" s="934"/>
      <c r="AE34" s="935"/>
      <c r="AF34" s="912"/>
      <c r="AG34" s="935"/>
      <c r="AH34" s="912"/>
      <c r="AI34" s="935"/>
      <c r="AJ34" s="936"/>
      <c r="AK34" s="912"/>
      <c r="AL34" s="912"/>
      <c r="AM34" s="912"/>
      <c r="AN34" s="912"/>
      <c r="AO34" s="912"/>
      <c r="AP34" s="912"/>
      <c r="AQ34" s="912"/>
      <c r="AR34" s="919"/>
      <c r="AS34" s="919"/>
      <c r="AT34" s="919"/>
      <c r="AU34" s="919"/>
      <c r="AV34" s="919"/>
      <c r="AW34" s="919"/>
    </row>
    <row r="35" spans="1:49" ht="18" customHeight="1">
      <c r="A35" s="170" t="s">
        <v>116</v>
      </c>
      <c r="B35" s="148" t="s">
        <v>14</v>
      </c>
      <c r="C35" s="291">
        <f>ROUND(SUM(C29:C34),1)</f>
        <v>21364</v>
      </c>
      <c r="D35" s="910"/>
      <c r="E35" s="291">
        <f>ROUND(SUM(E29:E34),1)</f>
        <v>22505</v>
      </c>
      <c r="F35" s="910"/>
      <c r="G35" s="291">
        <f>ROUND(SUM(G29:G34),1)</f>
        <v>22253.3</v>
      </c>
      <c r="H35" s="910"/>
      <c r="I35" s="291">
        <f>ROUND(SUM(I29:I34),1)</f>
        <v>889.3</v>
      </c>
      <c r="J35" s="73"/>
      <c r="K35" s="291">
        <f>ROUND(SUM(K29:K34),1)</f>
        <v>-251.7</v>
      </c>
      <c r="L35" s="73"/>
      <c r="M35" s="1197"/>
      <c r="N35" s="291">
        <f>ROUND(SUM(N29:N34),1)</f>
        <v>67930</v>
      </c>
      <c r="O35" s="910"/>
      <c r="P35" s="291">
        <f>ROUND(SUM(P29:P34),1)</f>
        <v>66264</v>
      </c>
      <c r="Q35" s="910"/>
      <c r="R35" s="291">
        <f>ROUND(SUM(R29:R34),1)</f>
        <v>65312.6</v>
      </c>
      <c r="S35" s="910"/>
      <c r="T35" s="291">
        <f>ROUND(SUM(T29:T34),1)</f>
        <v>-2617.4</v>
      </c>
      <c r="U35" s="148"/>
      <c r="V35" s="291">
        <f>ROUND(SUM(V29:V34),1)</f>
        <v>-951.4</v>
      </c>
      <c r="W35" s="73"/>
      <c r="X35" s="73"/>
      <c r="Y35" s="73"/>
      <c r="Z35" s="73"/>
      <c r="AA35" s="73"/>
      <c r="AB35" s="73"/>
      <c r="AC35" s="73"/>
      <c r="AD35" s="73"/>
      <c r="AE35" s="148"/>
      <c r="AF35" s="148"/>
      <c r="AG35" s="148"/>
      <c r="AH35" s="148"/>
      <c r="AI35" s="148"/>
      <c r="AJ35" s="148"/>
      <c r="AK35" s="148"/>
      <c r="AL35" s="148"/>
      <c r="AM35" s="148"/>
      <c r="AN35" s="148"/>
      <c r="AO35" s="148"/>
      <c r="AP35" s="148"/>
      <c r="AQ35" s="148"/>
      <c r="AR35" s="919"/>
      <c r="AS35" s="919"/>
      <c r="AT35" s="919"/>
      <c r="AU35" s="919"/>
      <c r="AV35" s="919"/>
      <c r="AW35" s="919"/>
    </row>
    <row r="36" spans="1:49">
      <c r="A36" s="679"/>
      <c r="B36" s="912"/>
      <c r="C36" s="677"/>
      <c r="D36" s="634"/>
      <c r="E36" s="677"/>
      <c r="F36" s="634"/>
      <c r="G36" s="677"/>
      <c r="H36" s="634"/>
      <c r="I36" s="931"/>
      <c r="J36" s="931"/>
      <c r="K36" s="931"/>
      <c r="L36" s="931"/>
      <c r="M36" s="1193"/>
      <c r="N36" s="677"/>
      <c r="O36" s="1511"/>
      <c r="P36" s="677"/>
      <c r="Q36" s="634"/>
      <c r="R36" s="677"/>
      <c r="S36" s="634"/>
      <c r="T36" s="931"/>
      <c r="U36" s="912"/>
      <c r="V36" s="931"/>
      <c r="W36" s="931"/>
      <c r="X36" s="931"/>
      <c r="Y36" s="931"/>
      <c r="Z36" s="931"/>
      <c r="AA36" s="931"/>
      <c r="AB36" s="931"/>
      <c r="AC36" s="931"/>
      <c r="AD36" s="931"/>
      <c r="AE36" s="912"/>
      <c r="AF36" s="912"/>
      <c r="AG36" s="912"/>
      <c r="AH36" s="912"/>
      <c r="AI36" s="912"/>
      <c r="AJ36" s="912"/>
      <c r="AK36" s="912"/>
      <c r="AL36" s="912"/>
      <c r="AM36" s="912"/>
      <c r="AN36" s="912"/>
      <c r="AO36" s="912"/>
      <c r="AP36" s="912"/>
      <c r="AQ36" s="912"/>
      <c r="AR36" s="919"/>
      <c r="AS36" s="919"/>
      <c r="AT36" s="919"/>
      <c r="AU36" s="919"/>
      <c r="AV36" s="919"/>
      <c r="AW36" s="919"/>
    </row>
    <row r="37" spans="1:49" ht="15.6">
      <c r="A37" s="26" t="s">
        <v>117</v>
      </c>
      <c r="B37" s="912"/>
      <c r="C37" s="634"/>
      <c r="D37" s="634"/>
      <c r="E37" s="1511"/>
      <c r="F37" s="634"/>
      <c r="G37" s="634"/>
      <c r="H37" s="634"/>
      <c r="I37" s="931"/>
      <c r="J37" s="931"/>
      <c r="K37" s="931"/>
      <c r="L37" s="931"/>
      <c r="M37" s="1193"/>
      <c r="N37" s="1511"/>
      <c r="O37" s="1511"/>
      <c r="P37" s="1511"/>
      <c r="Q37" s="634"/>
      <c r="R37" s="634"/>
      <c r="S37" s="634"/>
      <c r="T37" s="634"/>
      <c r="U37" s="912"/>
      <c r="V37" s="931"/>
      <c r="W37" s="931"/>
      <c r="X37" s="931"/>
      <c r="Y37" s="931"/>
      <c r="Z37" s="931"/>
      <c r="AA37" s="931"/>
      <c r="AB37" s="931"/>
      <c r="AC37" s="931"/>
      <c r="AD37" s="931"/>
      <c r="AE37" s="912"/>
      <c r="AF37" s="912"/>
      <c r="AG37" s="912"/>
      <c r="AH37" s="912"/>
      <c r="AI37" s="912"/>
      <c r="AJ37" s="912"/>
      <c r="AK37" s="912"/>
      <c r="AL37" s="912"/>
      <c r="AM37" s="912"/>
      <c r="AN37" s="912"/>
      <c r="AO37" s="912"/>
      <c r="AP37" s="912"/>
      <c r="AQ37" s="912"/>
      <c r="AR37" s="919"/>
      <c r="AS37" s="919"/>
      <c r="AT37" s="919"/>
      <c r="AU37" s="919"/>
      <c r="AV37" s="919"/>
      <c r="AW37" s="919"/>
    </row>
    <row r="38" spans="1:49" ht="15.6">
      <c r="A38" s="26" t="s">
        <v>118</v>
      </c>
      <c r="B38" s="912"/>
      <c r="C38" s="634"/>
      <c r="D38" s="634"/>
      <c r="E38" s="1511"/>
      <c r="F38" s="634"/>
      <c r="G38" s="634"/>
      <c r="H38" s="634"/>
      <c r="I38" s="931"/>
      <c r="J38" s="931"/>
      <c r="K38" s="931"/>
      <c r="L38" s="931"/>
      <c r="M38" s="1193"/>
      <c r="N38" s="1511"/>
      <c r="O38" s="1511"/>
      <c r="P38" s="1511"/>
      <c r="Q38" s="634"/>
      <c r="R38" s="634"/>
      <c r="S38" s="634"/>
      <c r="T38" s="634"/>
      <c r="U38" s="912"/>
      <c r="V38" s="931"/>
      <c r="W38" s="931"/>
      <c r="X38" s="931"/>
      <c r="Y38" s="931"/>
      <c r="Z38" s="931"/>
      <c r="AA38" s="931"/>
      <c r="AB38" s="931"/>
      <c r="AC38" s="931"/>
      <c r="AD38" s="931"/>
      <c r="AE38" s="912"/>
      <c r="AF38" s="912"/>
      <c r="AG38" s="912"/>
      <c r="AH38" s="912"/>
      <c r="AI38" s="912"/>
      <c r="AJ38" s="912"/>
      <c r="AK38" s="912"/>
      <c r="AL38" s="912"/>
      <c r="AM38" s="912"/>
      <c r="AN38" s="912"/>
      <c r="AO38" s="912"/>
      <c r="AP38" s="912"/>
      <c r="AQ38" s="912"/>
      <c r="AR38" s="919"/>
      <c r="AS38" s="919"/>
      <c r="AT38" s="919"/>
      <c r="AU38" s="919"/>
      <c r="AV38" s="919"/>
      <c r="AW38" s="919"/>
    </row>
    <row r="39" spans="1:49" ht="15.6">
      <c r="A39" s="170" t="s">
        <v>101</v>
      </c>
      <c r="B39" s="909" t="s">
        <v>14</v>
      </c>
      <c r="C39" s="73">
        <f>ROUND(SUM(C26)-SUM(C35),1)</f>
        <v>-148</v>
      </c>
      <c r="D39" s="81"/>
      <c r="E39" s="1512">
        <f>ROUND(SUM(E26)-SUM(E35),1)</f>
        <v>1945</v>
      </c>
      <c r="F39" s="81"/>
      <c r="G39" s="73">
        <f>ROUND(SUM(G26)-SUM(G35),1)</f>
        <v>1293.2</v>
      </c>
      <c r="H39" s="81"/>
      <c r="I39" s="73">
        <f>ROUND(SUM(I26)-SUM(I35),1)</f>
        <v>1441.2</v>
      </c>
      <c r="J39" s="73"/>
      <c r="K39" s="1512">
        <f t="shared" ref="K39:K41" si="7">G39-E39</f>
        <v>-651.79999999999995</v>
      </c>
      <c r="L39" s="73"/>
      <c r="M39" s="1195"/>
      <c r="N39" s="1512">
        <f>ROUND(SUM(N26)-SUM(N35),1)</f>
        <v>13519</v>
      </c>
      <c r="O39" s="81"/>
      <c r="P39" s="1512">
        <f>ROUND(SUM(P26)-SUM(P35),1)</f>
        <v>15030</v>
      </c>
      <c r="Q39" s="81"/>
      <c r="R39" s="73">
        <f>ROUND(SUM(R26)-SUM(R35),1)</f>
        <v>14869.6</v>
      </c>
      <c r="S39" s="81"/>
      <c r="T39" s="73">
        <f>ROUND(SUM(T26)-SUM(T35),1)</f>
        <v>1350.6</v>
      </c>
      <c r="U39" s="148"/>
      <c r="V39" s="1512">
        <f t="shared" ref="V39:V41" si="8">R39-P39</f>
        <v>-160.39999999999964</v>
      </c>
      <c r="W39" s="389"/>
      <c r="X39" s="73"/>
      <c r="Y39" s="389"/>
      <c r="Z39" s="73"/>
      <c r="AA39" s="389"/>
      <c r="AB39" s="73"/>
      <c r="AC39" s="389"/>
      <c r="AD39" s="73"/>
      <c r="AE39" s="148"/>
      <c r="AF39" s="171"/>
      <c r="AG39" s="148"/>
      <c r="AH39" s="171"/>
      <c r="AI39" s="148"/>
      <c r="AJ39" s="148"/>
      <c r="AK39" s="171"/>
      <c r="AL39" s="148"/>
      <c r="AM39" s="148"/>
      <c r="AN39" s="171"/>
      <c r="AO39" s="148"/>
      <c r="AP39" s="171"/>
      <c r="AQ39" s="148"/>
      <c r="AR39" s="919"/>
      <c r="AS39" s="919"/>
      <c r="AT39" s="919"/>
      <c r="AU39" s="919"/>
      <c r="AV39" s="919"/>
      <c r="AW39" s="919"/>
    </row>
    <row r="40" spans="1:49" ht="15" customHeight="1">
      <c r="C40" s="660"/>
      <c r="D40" s="920"/>
      <c r="E40" s="660"/>
      <c r="F40" s="920"/>
      <c r="G40" s="660"/>
      <c r="H40" s="920"/>
      <c r="I40" s="73"/>
      <c r="J40" s="73"/>
      <c r="K40" s="931"/>
      <c r="L40" s="73"/>
      <c r="M40" s="1195"/>
      <c r="N40" s="660"/>
      <c r="O40" s="920"/>
      <c r="P40" s="660"/>
      <c r="Q40" s="920"/>
      <c r="R40" s="660"/>
      <c r="S40" s="920"/>
      <c r="T40" s="73"/>
      <c r="U40" s="148"/>
      <c r="V40" s="931"/>
      <c r="W40" s="660"/>
      <c r="X40" s="660"/>
      <c r="Y40" s="660"/>
      <c r="Z40" s="660"/>
      <c r="AA40" s="660"/>
      <c r="AB40" s="660"/>
      <c r="AC40" s="660"/>
      <c r="AD40" s="660"/>
      <c r="AR40" s="919"/>
      <c r="AS40" s="919"/>
      <c r="AT40" s="919"/>
      <c r="AU40" s="919"/>
      <c r="AV40" s="919"/>
      <c r="AW40" s="919"/>
    </row>
    <row r="41" spans="1:49" ht="15.6">
      <c r="A41" s="170" t="str">
        <f>+'Exh D-Governmental  '!A49</f>
        <v>Fund Balances (Deficits) at April 1</v>
      </c>
      <c r="B41" s="613" t="s">
        <v>14</v>
      </c>
      <c r="C41" s="112">
        <v>5708</v>
      </c>
      <c r="D41" s="1630"/>
      <c r="E41" s="112">
        <v>5708</v>
      </c>
      <c r="F41" s="920"/>
      <c r="G41" s="112">
        <f>'Exhibit G State'!D13</f>
        <v>5708.6</v>
      </c>
      <c r="H41" s="1630"/>
      <c r="I41" s="910">
        <f>ROUND(SUM(G41)-SUM(C41),1)</f>
        <v>0.6</v>
      </c>
      <c r="J41" s="78"/>
      <c r="K41" s="1512">
        <f t="shared" si="7"/>
        <v>0.6000000000003638</v>
      </c>
      <c r="L41" s="78"/>
      <c r="M41" s="1195"/>
      <c r="N41" s="112">
        <v>4961</v>
      </c>
      <c r="O41" s="1630"/>
      <c r="P41" s="112">
        <v>4961</v>
      </c>
      <c r="Q41" s="920"/>
      <c r="R41" s="112">
        <f>'Exhibit G Federal'!D13</f>
        <v>4960.7</v>
      </c>
      <c r="S41" s="1630"/>
      <c r="T41" s="910">
        <f>ROUND(SUM(R41)-SUM(N41),1)</f>
        <v>-0.3</v>
      </c>
      <c r="U41" s="148"/>
      <c r="V41" s="1512">
        <f t="shared" si="8"/>
        <v>-0.3000000000001819</v>
      </c>
      <c r="W41" s="660"/>
      <c r="X41" s="73"/>
      <c r="Y41" s="660"/>
      <c r="Z41" s="73"/>
      <c r="AA41" s="660"/>
      <c r="AB41" s="78"/>
      <c r="AC41" s="660"/>
      <c r="AD41" s="660"/>
      <c r="AR41" s="919"/>
      <c r="AS41" s="919"/>
      <c r="AT41" s="919"/>
      <c r="AU41" s="919"/>
      <c r="AV41" s="919"/>
      <c r="AW41" s="919"/>
    </row>
    <row r="42" spans="1:49" ht="18" customHeight="1" thickBot="1">
      <c r="A42" s="1337" t="str">
        <f>+'Exh D-Governmental  '!A50</f>
        <v>Fund Balances (Deficits) at January 31, 2022</v>
      </c>
      <c r="B42" s="177" t="s">
        <v>14</v>
      </c>
      <c r="C42" s="95">
        <f>ROUND(SUM(C39:C41),1)</f>
        <v>5560</v>
      </c>
      <c r="D42" s="178"/>
      <c r="E42" s="95">
        <f>ROUND(SUM(E39:E41),1)</f>
        <v>7653</v>
      </c>
      <c r="F42" s="178"/>
      <c r="G42" s="95">
        <f>ROUND(SUM(G39:G41),1)</f>
        <v>7001.8</v>
      </c>
      <c r="H42" s="178"/>
      <c r="I42" s="95">
        <f>ROUND(SUM(I39:I41),1)</f>
        <v>1441.8</v>
      </c>
      <c r="J42" s="216"/>
      <c r="K42" s="95">
        <f>ROUND(SUM(K39:K41),1)</f>
        <v>-651.20000000000005</v>
      </c>
      <c r="L42" s="216"/>
      <c r="M42" s="1196"/>
      <c r="N42" s="95">
        <f>ROUND(SUM(N39:N41),1)</f>
        <v>18480</v>
      </c>
      <c r="O42" s="178"/>
      <c r="P42" s="95">
        <f>ROUND(SUM(P39:P41),1)</f>
        <v>19991</v>
      </c>
      <c r="Q42" s="178"/>
      <c r="R42" s="95">
        <f>ROUND(SUM(R39:R41),1)</f>
        <v>19830.3</v>
      </c>
      <c r="S42" s="178"/>
      <c r="T42" s="95">
        <f>ROUND(SUM(T39:T41),1)</f>
        <v>1350.3</v>
      </c>
      <c r="U42" s="148"/>
      <c r="V42" s="95">
        <f>ROUND(SUM(V39:V41),1)</f>
        <v>-160.69999999999999</v>
      </c>
      <c r="W42" s="963"/>
      <c r="X42" s="216"/>
      <c r="Y42" s="963"/>
      <c r="Z42" s="216"/>
      <c r="AA42" s="963"/>
      <c r="AB42" s="216"/>
      <c r="AR42" s="919"/>
      <c r="AS42" s="919"/>
      <c r="AT42" s="919"/>
      <c r="AU42" s="919"/>
      <c r="AV42" s="919"/>
      <c r="AW42" s="919"/>
    </row>
    <row r="43" spans="1:49" ht="15" customHeight="1" thickTop="1">
      <c r="A43" s="152"/>
      <c r="G43" s="613"/>
      <c r="J43" s="613"/>
      <c r="V43" s="613"/>
      <c r="W43" s="964"/>
      <c r="X43" s="678"/>
      <c r="Y43" s="964"/>
      <c r="Z43" s="964"/>
      <c r="AA43" s="964"/>
      <c r="AB43" s="964"/>
      <c r="AR43" s="919"/>
      <c r="AS43" s="919"/>
      <c r="AT43" s="919"/>
      <c r="AU43" s="919"/>
      <c r="AV43" s="919"/>
      <c r="AW43" s="919"/>
    </row>
    <row r="44" spans="1:49">
      <c r="A44" s="924" t="str">
        <f>'Exh D-Governmental  '!A52</f>
        <v>(*)    Source: 2021-22 Enacted Financial Plan dated May 25, 2021.</v>
      </c>
      <c r="AR44" s="919"/>
      <c r="AS44" s="919"/>
      <c r="AT44" s="919"/>
      <c r="AU44" s="919"/>
      <c r="AV44" s="919"/>
      <c r="AW44" s="919"/>
    </row>
    <row r="45" spans="1:49">
      <c r="A45" s="924" t="str">
        <f>'Exh D-Governmental  '!A53</f>
        <v>(**)   Source: 2022-23 Executive Budget dated January 18, 2022.</v>
      </c>
      <c r="B45" s="919"/>
      <c r="C45" s="937"/>
      <c r="D45" s="919"/>
      <c r="E45" s="919"/>
      <c r="F45" s="919"/>
      <c r="G45" s="919"/>
      <c r="H45" s="919"/>
      <c r="I45" s="919"/>
      <c r="J45" s="919"/>
      <c r="K45" s="919"/>
      <c r="L45" s="680"/>
      <c r="M45" s="680"/>
      <c r="N45" s="919"/>
      <c r="O45" s="919"/>
      <c r="P45" s="919"/>
      <c r="Q45" s="919"/>
      <c r="R45" s="919"/>
      <c r="S45" s="919"/>
      <c r="T45" s="919"/>
      <c r="U45" s="919"/>
      <c r="V45" s="680"/>
      <c r="W45" s="680"/>
      <c r="X45" s="680"/>
      <c r="Y45" s="680"/>
      <c r="Z45" s="680"/>
      <c r="AA45" s="680"/>
      <c r="AB45" s="680"/>
      <c r="AC45" s="919"/>
      <c r="AD45" s="919"/>
      <c r="AE45" s="919"/>
      <c r="AF45" s="919"/>
      <c r="AG45" s="919"/>
      <c r="AH45" s="919"/>
      <c r="AI45" s="919"/>
      <c r="AJ45" s="919"/>
      <c r="AK45" s="919"/>
      <c r="AL45" s="919"/>
      <c r="AM45" s="919"/>
      <c r="AN45" s="919"/>
      <c r="AO45" s="919"/>
      <c r="AP45" s="919"/>
      <c r="AQ45" s="919"/>
      <c r="AR45" s="919"/>
      <c r="AS45" s="919"/>
      <c r="AT45" s="919"/>
      <c r="AU45" s="919"/>
      <c r="AV45" s="919"/>
      <c r="AW45" s="919"/>
    </row>
    <row r="46" spans="1:49">
      <c r="A46" s="895"/>
    </row>
    <row r="47" spans="1:49">
      <c r="A47" s="201"/>
      <c r="B47" s="919"/>
      <c r="C47" s="919"/>
      <c r="D47" s="919"/>
      <c r="E47" s="919"/>
      <c r="F47" s="919"/>
      <c r="G47" s="919"/>
      <c r="H47" s="919"/>
      <c r="I47" s="919"/>
      <c r="J47" s="919"/>
      <c r="K47" s="919"/>
      <c r="L47" s="680"/>
      <c r="M47" s="680"/>
      <c r="N47" s="919"/>
      <c r="O47" s="919"/>
      <c r="P47" s="919"/>
      <c r="Q47" s="919"/>
      <c r="R47" s="919"/>
      <c r="S47" s="919"/>
      <c r="T47" s="919"/>
      <c r="U47" s="919"/>
      <c r="V47" s="680"/>
      <c r="W47" s="680"/>
      <c r="X47" s="680"/>
      <c r="Y47" s="680"/>
      <c r="Z47" s="680"/>
      <c r="AA47" s="680"/>
      <c r="AB47" s="680"/>
      <c r="AC47" s="919"/>
      <c r="AD47" s="919"/>
      <c r="AE47" s="919"/>
      <c r="AF47" s="919"/>
      <c r="AG47" s="919"/>
      <c r="AH47" s="919"/>
      <c r="AI47" s="919"/>
      <c r="AJ47" s="919"/>
      <c r="AK47" s="919"/>
      <c r="AL47" s="919"/>
      <c r="AM47" s="919"/>
      <c r="AN47" s="919"/>
      <c r="AO47" s="919"/>
      <c r="AP47" s="919"/>
      <c r="AQ47" s="919"/>
      <c r="AR47" s="919"/>
      <c r="AS47" s="919"/>
      <c r="AT47" s="919"/>
      <c r="AU47" s="919"/>
      <c r="AV47" s="919"/>
      <c r="AW47" s="919"/>
    </row>
    <row r="48" spans="1:49">
      <c r="A48" s="201"/>
      <c r="B48" s="919"/>
      <c r="C48" s="937"/>
      <c r="D48" s="919"/>
      <c r="E48" s="937"/>
      <c r="F48" s="919"/>
      <c r="G48" s="919"/>
      <c r="H48" s="919"/>
      <c r="I48" s="919"/>
      <c r="J48" s="919"/>
      <c r="K48" s="919"/>
      <c r="L48" s="680"/>
      <c r="M48" s="680"/>
      <c r="N48" s="919"/>
      <c r="O48" s="919"/>
      <c r="P48" s="919"/>
      <c r="Q48" s="919"/>
      <c r="R48" s="919"/>
      <c r="S48" s="919"/>
      <c r="T48" s="919"/>
      <c r="U48" s="919"/>
      <c r="V48" s="680"/>
      <c r="W48" s="680"/>
      <c r="X48" s="680"/>
      <c r="Y48" s="680"/>
      <c r="Z48" s="680"/>
      <c r="AA48" s="680"/>
      <c r="AB48" s="680"/>
      <c r="AC48" s="919"/>
      <c r="AD48" s="919"/>
      <c r="AE48" s="919"/>
      <c r="AF48" s="919"/>
      <c r="AG48" s="919"/>
      <c r="AH48" s="919"/>
      <c r="AI48" s="919"/>
      <c r="AJ48" s="919"/>
      <c r="AK48" s="919"/>
      <c r="AL48" s="919"/>
      <c r="AM48" s="919"/>
      <c r="AN48" s="919"/>
      <c r="AO48" s="919"/>
      <c r="AP48" s="919"/>
      <c r="AQ48" s="919"/>
      <c r="AR48" s="919"/>
      <c r="AS48" s="919"/>
      <c r="AT48" s="919"/>
      <c r="AU48" s="919"/>
      <c r="AV48" s="919"/>
      <c r="AW48" s="919"/>
    </row>
    <row r="49" spans="3:5">
      <c r="C49" s="964"/>
      <c r="E49" s="964"/>
    </row>
    <row r="50" spans="3:5">
      <c r="C50" s="964"/>
      <c r="E50" s="964"/>
    </row>
    <row r="51" spans="3:5">
      <c r="C51" s="964"/>
      <c r="E51" s="964"/>
    </row>
    <row r="52" spans="3:5">
      <c r="C52" s="964"/>
      <c r="E52" s="964"/>
    </row>
    <row r="53" spans="3:5">
      <c r="C53" s="964"/>
      <c r="E53" s="964"/>
    </row>
    <row r="54" spans="3:5">
      <c r="C54" s="964"/>
      <c r="E54" s="964"/>
    </row>
    <row r="55" spans="3:5">
      <c r="C55" s="964"/>
      <c r="E55" s="964"/>
    </row>
    <row r="56" spans="3:5">
      <c r="C56" s="964"/>
      <c r="E56" s="964"/>
    </row>
    <row r="57" spans="3:5">
      <c r="C57" s="964"/>
      <c r="E57" s="964"/>
    </row>
    <row r="58" spans="3:5">
      <c r="C58" s="964"/>
      <c r="E58" s="964"/>
    </row>
    <row r="59" spans="3:5">
      <c r="C59" s="964"/>
      <c r="E59" s="964"/>
    </row>
    <row r="60" spans="3:5">
      <c r="C60" s="964"/>
      <c r="E60" s="964"/>
    </row>
    <row r="61" spans="3:5">
      <c r="C61" s="964"/>
      <c r="E61" s="964"/>
    </row>
    <row r="62" spans="3:5">
      <c r="C62" s="964"/>
      <c r="E62" s="964"/>
    </row>
    <row r="63" spans="3:5">
      <c r="C63" s="964"/>
      <c r="E63" s="964"/>
    </row>
    <row r="64" spans="3:5">
      <c r="C64" s="964"/>
      <c r="E64" s="964"/>
    </row>
    <row r="65" spans="3:5">
      <c r="C65" s="964"/>
      <c r="E65" s="964"/>
    </row>
    <row r="66" spans="3:5">
      <c r="C66" s="964"/>
      <c r="E66" s="964"/>
    </row>
    <row r="67" spans="3:5">
      <c r="C67" s="964"/>
      <c r="E67" s="964"/>
    </row>
    <row r="68" spans="3:5">
      <c r="C68" s="964"/>
      <c r="E68" s="964"/>
    </row>
    <row r="69" spans="3:5">
      <c r="C69" s="964"/>
      <c r="E69" s="964"/>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90" workbookViewId="0"/>
  </sheetViews>
  <sheetFormatPr defaultColWidth="8.81640625" defaultRowHeight="15"/>
  <cols>
    <col min="1" max="1" width="47.08984375" style="919" customWidth="1"/>
    <col min="2" max="2" width="2" style="613" customWidth="1"/>
    <col min="3" max="3" width="15.08984375" style="422" customWidth="1"/>
    <col min="4" max="4" width="1.81640625" style="923" customWidth="1"/>
    <col min="5" max="5" width="15.08984375" style="422" customWidth="1"/>
    <col min="6" max="6" width="2.81640625" style="923" customWidth="1"/>
    <col min="7" max="7" width="15.08984375" style="923" customWidth="1"/>
    <col min="8" max="8" width="2" style="923" customWidth="1"/>
    <col min="9" max="9" width="15.08984375" style="923" customWidth="1"/>
    <col min="10" max="10" width="2.08984375" style="613" customWidth="1"/>
    <col min="11" max="11" width="15.08984375" style="613" customWidth="1"/>
    <col min="12" max="12" width="11.453125" style="613" customWidth="1"/>
    <col min="13" max="13" width="1.81640625" style="613" customWidth="1"/>
    <col min="14" max="14" width="11.81640625" style="613" customWidth="1"/>
    <col min="15" max="15" width="2.08984375" style="613" customWidth="1"/>
    <col min="16" max="16" width="11.453125" style="613" customWidth="1"/>
    <col min="17" max="17" width="0.54296875" style="613" customWidth="1"/>
    <col min="18" max="18" width="2.08984375" style="613" customWidth="1"/>
    <col min="19" max="19" width="10.54296875" style="613" customWidth="1"/>
    <col min="20" max="20" width="11.08984375" style="613" customWidth="1"/>
    <col min="21" max="21" width="2.08984375" style="613" customWidth="1"/>
    <col min="22" max="22" width="11.08984375" style="613" customWidth="1"/>
    <col min="23" max="23" width="2.08984375" style="613" customWidth="1"/>
    <col min="24" max="24" width="12.453125" style="613" customWidth="1"/>
    <col min="25" max="29" width="8.81640625" style="613"/>
    <col min="30" max="30" width="8.81640625" style="923"/>
    <col min="31" max="16384" width="8.81640625" style="919"/>
  </cols>
  <sheetData>
    <row r="1" spans="1:24">
      <c r="A1" s="925" t="s">
        <v>881</v>
      </c>
      <c r="B1" s="183"/>
      <c r="C1" s="416"/>
      <c r="D1" s="184"/>
      <c r="E1" s="416"/>
      <c r="F1" s="184"/>
      <c r="G1" s="184"/>
      <c r="H1" s="184"/>
      <c r="I1" s="184"/>
      <c r="J1" s="184"/>
      <c r="K1" s="183"/>
      <c r="L1" s="183"/>
      <c r="M1" s="183"/>
      <c r="N1" s="183"/>
      <c r="O1" s="183"/>
      <c r="P1" s="183"/>
      <c r="Q1" s="183"/>
      <c r="R1" s="183"/>
      <c r="S1" s="183"/>
      <c r="T1" s="183"/>
      <c r="U1" s="183"/>
      <c r="V1" s="183"/>
      <c r="W1" s="183"/>
      <c r="X1" s="183"/>
    </row>
    <row r="2" spans="1:24" ht="17.100000000000001" customHeight="1">
      <c r="A2" s="185"/>
      <c r="B2" s="186"/>
      <c r="C2" s="416"/>
      <c r="D2" s="184"/>
      <c r="E2" s="416"/>
      <c r="F2" s="184"/>
      <c r="G2" s="187"/>
      <c r="H2" s="184"/>
      <c r="I2" s="184"/>
      <c r="J2" s="184"/>
      <c r="K2" s="183"/>
      <c r="L2" s="183"/>
      <c r="M2" s="183"/>
      <c r="N2" s="183"/>
      <c r="O2" s="183"/>
      <c r="P2" s="183"/>
      <c r="Q2" s="183"/>
      <c r="R2" s="183"/>
      <c r="S2" s="183"/>
      <c r="T2" s="183"/>
      <c r="U2" s="183"/>
      <c r="V2" s="183"/>
      <c r="W2" s="183"/>
      <c r="X2" s="183"/>
    </row>
    <row r="3" spans="1:24" ht="18.75" customHeight="1">
      <c r="A3" s="188" t="s">
        <v>0</v>
      </c>
      <c r="B3" s="145"/>
      <c r="C3" s="419"/>
      <c r="D3" s="140"/>
      <c r="E3" s="419"/>
      <c r="F3" s="140"/>
      <c r="G3" s="140"/>
      <c r="H3" s="140"/>
      <c r="I3" s="810"/>
      <c r="J3" s="140"/>
      <c r="K3" s="810" t="s">
        <v>82</v>
      </c>
      <c r="L3" s="153"/>
      <c r="M3" s="153"/>
      <c r="N3" s="153"/>
      <c r="O3" s="153"/>
      <c r="P3" s="153"/>
      <c r="Q3" s="153"/>
      <c r="R3" s="153"/>
      <c r="S3" s="153"/>
      <c r="T3" s="153"/>
      <c r="U3" s="153"/>
      <c r="V3" s="153"/>
      <c r="W3" s="153"/>
      <c r="X3" s="189"/>
    </row>
    <row r="4" spans="1:24" ht="18.75" customHeight="1">
      <c r="A4" s="188" t="s">
        <v>81</v>
      </c>
      <c r="B4" s="145"/>
      <c r="C4" s="419"/>
      <c r="D4" s="140"/>
      <c r="E4" s="419"/>
      <c r="F4" s="140"/>
      <c r="G4" s="140"/>
      <c r="H4" s="140"/>
      <c r="I4" s="811"/>
      <c r="J4" s="140"/>
      <c r="K4" s="811"/>
      <c r="L4" s="153"/>
      <c r="M4" s="153"/>
      <c r="N4" s="153"/>
      <c r="O4" s="153"/>
      <c r="P4" s="153"/>
      <c r="Q4" s="153"/>
      <c r="R4" s="153"/>
      <c r="S4" s="153"/>
      <c r="T4" s="153"/>
      <c r="U4" s="153"/>
      <c r="V4" s="153"/>
      <c r="W4" s="153"/>
      <c r="X4" s="153"/>
    </row>
    <row r="5" spans="1:24" ht="18.75" customHeight="1">
      <c r="A5" s="3966" t="str">
        <f>'Exh D-Governmental  '!A5:E5</f>
        <v>FISCAL YEAR 2021-2022</v>
      </c>
      <c r="B5" s="3967"/>
      <c r="C5" s="3967"/>
      <c r="D5" s="3967"/>
      <c r="E5" s="3967"/>
      <c r="F5" s="140"/>
      <c r="G5" s="140"/>
      <c r="H5" s="140"/>
      <c r="I5" s="140"/>
      <c r="J5" s="140"/>
      <c r="K5" s="153"/>
      <c r="L5" s="153"/>
      <c r="M5" s="153"/>
      <c r="N5" s="153"/>
      <c r="O5" s="153"/>
      <c r="P5" s="153"/>
      <c r="Q5" s="153"/>
      <c r="R5" s="153"/>
      <c r="S5" s="153"/>
      <c r="T5" s="153"/>
      <c r="U5" s="153"/>
      <c r="V5" s="153"/>
      <c r="W5" s="153"/>
      <c r="X5" s="153"/>
    </row>
    <row r="6" spans="1:24" ht="18.75" customHeight="1">
      <c r="A6" s="1457" t="str">
        <f>'Exh D-Governmental  '!A6</f>
        <v xml:space="preserve">FOR TEN MONTHS ENDED JANUARY 31, 2022    </v>
      </c>
      <c r="B6" s="144"/>
      <c r="C6" s="419"/>
      <c r="D6" s="140"/>
      <c r="E6" s="419"/>
      <c r="F6" s="140"/>
      <c r="G6" s="140"/>
      <c r="H6" s="140"/>
      <c r="I6" s="140"/>
      <c r="J6" s="140"/>
      <c r="K6" s="153"/>
      <c r="L6" s="153"/>
      <c r="M6" s="153"/>
      <c r="N6" s="153"/>
      <c r="O6" s="153"/>
      <c r="P6" s="153"/>
      <c r="Q6" s="153"/>
      <c r="R6" s="153"/>
      <c r="S6" s="153"/>
      <c r="T6" s="153"/>
      <c r="U6" s="153"/>
      <c r="V6" s="153"/>
      <c r="W6" s="153"/>
      <c r="X6" s="153"/>
    </row>
    <row r="7" spans="1:24" ht="18.75" customHeight="1">
      <c r="A7" s="188" t="s">
        <v>1264</v>
      </c>
      <c r="B7" s="145"/>
      <c r="C7" s="419"/>
      <c r="D7" s="140"/>
      <c r="E7" s="419"/>
      <c r="F7" s="140"/>
      <c r="G7" s="140"/>
      <c r="H7" s="140"/>
      <c r="I7" s="140"/>
      <c r="J7" s="140"/>
      <c r="K7" s="153"/>
      <c r="L7" s="153"/>
      <c r="M7" s="153"/>
      <c r="N7" s="153"/>
      <c r="O7" s="153"/>
      <c r="P7" s="153"/>
      <c r="Q7" s="153"/>
      <c r="R7" s="153"/>
      <c r="S7" s="153"/>
      <c r="T7" s="153"/>
      <c r="U7" s="153"/>
      <c r="V7" s="153"/>
      <c r="W7" s="153"/>
      <c r="X7" s="153"/>
    </row>
    <row r="8" spans="1:24" ht="15" customHeight="1">
      <c r="A8" s="190"/>
      <c r="B8" s="144"/>
      <c r="C8" s="419"/>
      <c r="D8" s="140"/>
      <c r="E8" s="419"/>
      <c r="F8" s="140"/>
      <c r="G8" s="140"/>
      <c r="H8" s="140"/>
      <c r="I8" s="140"/>
      <c r="J8" s="140"/>
      <c r="K8" s="153"/>
      <c r="L8" s="153"/>
      <c r="M8" s="153"/>
      <c r="N8" s="153"/>
      <c r="O8" s="153"/>
      <c r="P8" s="153"/>
      <c r="Q8" s="153"/>
      <c r="R8" s="153"/>
      <c r="S8" s="153"/>
      <c r="T8" s="153"/>
      <c r="U8" s="153"/>
      <c r="V8" s="153"/>
      <c r="W8" s="153"/>
      <c r="X8" s="153"/>
    </row>
    <row r="9" spans="1:24">
      <c r="A9" s="147"/>
      <c r="B9" s="153"/>
      <c r="C9" s="419"/>
      <c r="D9" s="140"/>
      <c r="E9" s="419"/>
      <c r="F9" s="140"/>
      <c r="G9" s="140"/>
      <c r="H9" s="140"/>
      <c r="I9" s="140"/>
      <c r="J9" s="140"/>
      <c r="K9" s="153"/>
      <c r="L9" s="153"/>
      <c r="M9" s="153"/>
      <c r="N9" s="153"/>
      <c r="O9" s="153"/>
      <c r="P9" s="153"/>
      <c r="Q9" s="153"/>
      <c r="R9" s="153"/>
      <c r="S9" s="153"/>
      <c r="T9" s="153"/>
      <c r="U9" s="153"/>
      <c r="V9" s="153"/>
      <c r="W9" s="153"/>
      <c r="X9" s="153"/>
    </row>
    <row r="10" spans="1:24">
      <c r="A10" s="147"/>
      <c r="B10" s="153"/>
      <c r="C10" s="418"/>
      <c r="D10" s="145"/>
      <c r="E10" s="418"/>
      <c r="F10" s="145"/>
      <c r="G10" s="145"/>
      <c r="H10" s="145"/>
      <c r="I10" s="145"/>
      <c r="J10" s="140"/>
      <c r="K10" s="153"/>
      <c r="L10" s="153"/>
      <c r="M10" s="153"/>
      <c r="N10" s="153"/>
      <c r="O10" s="153"/>
      <c r="P10" s="153"/>
      <c r="Q10" s="153"/>
      <c r="R10" s="153"/>
      <c r="S10" s="153"/>
      <c r="T10" s="153"/>
      <c r="U10" s="153"/>
      <c r="V10" s="153"/>
      <c r="W10" s="153"/>
      <c r="X10" s="153"/>
    </row>
    <row r="11" spans="1:24" ht="15.6">
      <c r="A11" s="679"/>
      <c r="C11" s="3968" t="s">
        <v>1040</v>
      </c>
      <c r="D11" s="3968"/>
      <c r="E11" s="3968"/>
      <c r="F11" s="3968"/>
      <c r="G11" s="3968"/>
      <c r="H11" s="3968"/>
      <c r="I11" s="3968"/>
      <c r="J11" s="1182"/>
      <c r="K11" s="1183"/>
      <c r="L11" s="191"/>
      <c r="M11" s="191"/>
      <c r="N11" s="191"/>
      <c r="O11" s="191"/>
      <c r="P11" s="191"/>
      <c r="Q11" s="191"/>
      <c r="R11" s="148"/>
      <c r="S11" s="191"/>
      <c r="T11" s="192"/>
      <c r="U11" s="191"/>
      <c r="V11" s="191"/>
      <c r="W11" s="191"/>
      <c r="X11" s="191"/>
    </row>
    <row r="12" spans="1:24" ht="15.6">
      <c r="A12" s="679"/>
      <c r="C12" s="423"/>
      <c r="D12" s="193"/>
      <c r="E12" s="423"/>
      <c r="F12" s="193"/>
      <c r="G12" s="194"/>
      <c r="H12" s="193"/>
      <c r="I12" s="193" t="s">
        <v>83</v>
      </c>
      <c r="J12" s="148"/>
      <c r="K12" s="193" t="s">
        <v>83</v>
      </c>
      <c r="L12" s="191"/>
      <c r="M12" s="191"/>
      <c r="N12" s="191"/>
      <c r="O12" s="191"/>
      <c r="P12" s="191"/>
      <c r="Q12" s="191"/>
      <c r="R12" s="148"/>
      <c r="S12" s="191"/>
      <c r="T12" s="192"/>
      <c r="U12" s="191"/>
      <c r="V12" s="191"/>
      <c r="W12" s="191"/>
      <c r="X12" s="191"/>
    </row>
    <row r="13" spans="1:24" ht="15.6">
      <c r="A13" s="679"/>
      <c r="B13" s="148"/>
      <c r="C13" s="421"/>
      <c r="D13" s="195"/>
      <c r="E13" s="421"/>
      <c r="F13" s="195"/>
      <c r="G13" s="195"/>
      <c r="H13" s="195"/>
      <c r="I13" s="196" t="s">
        <v>795</v>
      </c>
      <c r="J13" s="148"/>
      <c r="K13" s="196" t="s">
        <v>795</v>
      </c>
      <c r="L13" s="148"/>
      <c r="M13" s="148"/>
      <c r="N13" s="148"/>
      <c r="O13" s="148"/>
      <c r="P13" s="197"/>
      <c r="Q13" s="198"/>
      <c r="R13" s="148"/>
      <c r="S13" s="148"/>
      <c r="T13" s="148"/>
      <c r="U13" s="148"/>
      <c r="V13" s="148"/>
      <c r="W13" s="148"/>
      <c r="X13" s="197"/>
    </row>
    <row r="14" spans="1:24" ht="15.6">
      <c r="A14" s="679"/>
      <c r="B14" s="199"/>
      <c r="C14" s="151" t="s">
        <v>988</v>
      </c>
      <c r="D14" s="149"/>
      <c r="E14" s="150" t="s">
        <v>989</v>
      </c>
      <c r="F14" s="149"/>
      <c r="G14" s="149"/>
      <c r="H14" s="149"/>
      <c r="I14" s="150" t="s">
        <v>84</v>
      </c>
      <c r="J14" s="148"/>
      <c r="K14" s="150" t="s">
        <v>84</v>
      </c>
      <c r="L14" s="198"/>
      <c r="M14" s="148"/>
      <c r="N14" s="148"/>
      <c r="O14" s="148"/>
      <c r="P14" s="197"/>
      <c r="Q14" s="198"/>
      <c r="R14" s="148"/>
      <c r="S14" s="197"/>
      <c r="T14" s="198"/>
      <c r="U14" s="148"/>
      <c r="V14" s="148"/>
      <c r="W14" s="148"/>
      <c r="X14" s="197"/>
    </row>
    <row r="15" spans="1:24" ht="15.6">
      <c r="A15" s="679"/>
      <c r="B15" s="199"/>
      <c r="C15" s="150" t="s">
        <v>1024</v>
      </c>
      <c r="D15" s="149"/>
      <c r="E15" s="150" t="s">
        <v>1024</v>
      </c>
      <c r="F15" s="149"/>
      <c r="G15" s="149"/>
      <c r="H15" s="149"/>
      <c r="I15" s="150" t="s">
        <v>988</v>
      </c>
      <c r="J15" s="148"/>
      <c r="K15" s="150" t="s">
        <v>989</v>
      </c>
      <c r="L15" s="198"/>
      <c r="M15" s="148"/>
      <c r="N15" s="148"/>
      <c r="O15" s="148"/>
      <c r="P15" s="197"/>
      <c r="Q15" s="198"/>
      <c r="R15" s="148"/>
      <c r="S15" s="197"/>
      <c r="T15" s="198"/>
      <c r="U15" s="148"/>
      <c r="V15" s="148"/>
      <c r="W15" s="148"/>
      <c r="X15" s="197"/>
    </row>
    <row r="16" spans="1:24" ht="15.6">
      <c r="A16" s="679"/>
      <c r="B16" s="198"/>
      <c r="C16" s="150" t="s">
        <v>1025</v>
      </c>
      <c r="D16" s="149"/>
      <c r="E16" s="150" t="s">
        <v>1511</v>
      </c>
      <c r="F16" s="149"/>
      <c r="G16" s="151" t="s">
        <v>83</v>
      </c>
      <c r="H16" s="149"/>
      <c r="I16" s="150" t="s">
        <v>85</v>
      </c>
      <c r="J16" s="148"/>
      <c r="K16" s="150" t="s">
        <v>85</v>
      </c>
      <c r="L16" s="198"/>
      <c r="M16" s="148"/>
      <c r="N16" s="197"/>
      <c r="O16" s="148"/>
      <c r="P16" s="197"/>
      <c r="Q16" s="198"/>
      <c r="R16" s="148"/>
      <c r="S16" s="198"/>
      <c r="T16" s="198"/>
      <c r="U16" s="148"/>
      <c r="V16" s="197"/>
      <c r="W16" s="148"/>
      <c r="X16" s="197"/>
    </row>
    <row r="17" spans="1:24">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row>
    <row r="18" spans="1:24" ht="15.6">
      <c r="A18" s="26" t="s">
        <v>13</v>
      </c>
      <c r="B18" s="912"/>
      <c r="C18" s="648"/>
      <c r="D18" s="648"/>
      <c r="E18" s="648"/>
      <c r="F18" s="648"/>
      <c r="G18" s="648"/>
      <c r="H18" s="648"/>
      <c r="I18" s="648"/>
      <c r="J18" s="912"/>
      <c r="K18" s="648"/>
      <c r="L18" s="912"/>
      <c r="M18" s="912"/>
      <c r="N18" s="912"/>
      <c r="O18" s="912"/>
      <c r="P18" s="912"/>
      <c r="Q18" s="912"/>
      <c r="R18" s="912"/>
      <c r="S18" s="912"/>
      <c r="T18" s="912"/>
      <c r="U18" s="912"/>
      <c r="V18" s="912"/>
      <c r="W18" s="912"/>
      <c r="X18" s="912"/>
    </row>
    <row r="19" spans="1:24">
      <c r="A19" s="809" t="s">
        <v>86</v>
      </c>
      <c r="B19" s="913"/>
      <c r="C19" s="648"/>
      <c r="D19" s="648"/>
      <c r="E19" s="648"/>
      <c r="F19" s="648"/>
      <c r="G19" s="648"/>
      <c r="H19" s="913"/>
      <c r="I19" s="648"/>
      <c r="J19" s="912"/>
      <c r="K19" s="648"/>
      <c r="L19" s="912"/>
      <c r="M19" s="912"/>
      <c r="N19" s="912"/>
      <c r="O19" s="912"/>
      <c r="P19" s="912"/>
      <c r="Q19" s="912"/>
      <c r="R19" s="912"/>
      <c r="S19" s="912"/>
      <c r="T19" s="912"/>
      <c r="U19" s="912"/>
      <c r="V19" s="912"/>
      <c r="W19" s="912"/>
      <c r="X19" s="912"/>
    </row>
    <row r="20" spans="1:24">
      <c r="A20" s="809" t="s">
        <v>87</v>
      </c>
      <c r="B20" s="913" t="s">
        <v>14</v>
      </c>
      <c r="C20" s="2034">
        <v>25948</v>
      </c>
      <c r="D20" s="651"/>
      <c r="E20" s="2034">
        <v>30310</v>
      </c>
      <c r="F20" s="651"/>
      <c r="G20" s="1000">
        <f>+'Exhibit H'!AA16</f>
        <v>29736</v>
      </c>
      <c r="H20" s="651"/>
      <c r="I20" s="649">
        <f>G20-C20</f>
        <v>3788</v>
      </c>
      <c r="J20" s="912"/>
      <c r="K20" s="649">
        <f t="shared" ref="K20:K26" si="0">G20-E20</f>
        <v>-574</v>
      </c>
      <c r="L20" s="959"/>
      <c r="M20" s="912"/>
      <c r="N20" s="912"/>
      <c r="O20" s="912"/>
      <c r="P20" s="912"/>
      <c r="Q20" s="912"/>
      <c r="R20" s="912"/>
      <c r="S20" s="912"/>
      <c r="T20" s="912"/>
      <c r="U20" s="912"/>
      <c r="V20" s="912"/>
      <c r="W20" s="912"/>
      <c r="X20" s="912"/>
    </row>
    <row r="21" spans="1:24">
      <c r="A21" s="809" t="s">
        <v>88</v>
      </c>
      <c r="B21" s="912" t="s">
        <v>14</v>
      </c>
      <c r="C21" s="1110">
        <v>9509</v>
      </c>
      <c r="D21" s="1511"/>
      <c r="E21" s="1110">
        <v>10276</v>
      </c>
      <c r="F21" s="634"/>
      <c r="G21" s="883">
        <f>+'Exhibit H'!AA20</f>
        <v>10304.200000000001</v>
      </c>
      <c r="H21" s="634"/>
      <c r="I21" s="634">
        <f t="shared" ref="I21:I26" si="1">ROUND(SUM(G21)-SUM(C21),1)</f>
        <v>795.2</v>
      </c>
      <c r="J21" s="931"/>
      <c r="K21" s="1511">
        <f t="shared" si="0"/>
        <v>28.200000000000728</v>
      </c>
      <c r="L21" s="959"/>
      <c r="M21" s="912"/>
      <c r="N21" s="912"/>
      <c r="O21" s="912"/>
      <c r="P21" s="912"/>
      <c r="Q21" s="912"/>
      <c r="R21" s="912"/>
      <c r="S21" s="912"/>
      <c r="T21" s="912"/>
      <c r="U21" s="912"/>
      <c r="V21" s="912"/>
      <c r="W21" s="912"/>
      <c r="X21" s="912"/>
    </row>
    <row r="22" spans="1:24">
      <c r="A22" s="809" t="s">
        <v>89</v>
      </c>
      <c r="B22" s="912"/>
      <c r="C22" s="1110">
        <v>0</v>
      </c>
      <c r="D22" s="1511"/>
      <c r="E22" s="1110">
        <v>5512</v>
      </c>
      <c r="F22" s="1511"/>
      <c r="G22" s="883">
        <f>'Exhibit H'!AA23</f>
        <v>5530.3</v>
      </c>
      <c r="H22" s="1511"/>
      <c r="I22" s="1511">
        <f t="shared" si="1"/>
        <v>5530.3</v>
      </c>
      <c r="J22" s="931"/>
      <c r="K22" s="1511">
        <f t="shared" ref="K22" si="2">G22-E22</f>
        <v>18.300000000000182</v>
      </c>
      <c r="L22" s="959"/>
      <c r="M22" s="912"/>
      <c r="N22" s="912"/>
      <c r="O22" s="912"/>
      <c r="P22" s="912"/>
      <c r="Q22" s="912"/>
      <c r="R22" s="912"/>
      <c r="S22" s="912"/>
      <c r="T22" s="912"/>
      <c r="U22" s="912"/>
      <c r="V22" s="912"/>
      <c r="W22" s="912"/>
      <c r="X22" s="912"/>
    </row>
    <row r="23" spans="1:24">
      <c r="A23" s="809" t="s">
        <v>90</v>
      </c>
      <c r="B23" s="912" t="s">
        <v>14</v>
      </c>
      <c r="C23" s="1110">
        <v>815</v>
      </c>
      <c r="D23" s="1511"/>
      <c r="E23" s="1110">
        <v>1255</v>
      </c>
      <c r="F23" s="634"/>
      <c r="G23" s="883">
        <f>+'Exhibit H'!AA27</f>
        <v>1287.3999999999999</v>
      </c>
      <c r="H23" s="634"/>
      <c r="I23" s="634">
        <f t="shared" si="1"/>
        <v>472.4</v>
      </c>
      <c r="J23" s="931"/>
      <c r="K23" s="1511">
        <f t="shared" si="0"/>
        <v>32.399999999999864</v>
      </c>
      <c r="L23" s="959"/>
      <c r="M23" s="912"/>
      <c r="N23" s="912"/>
      <c r="O23" s="912"/>
      <c r="P23" s="912"/>
      <c r="Q23" s="912"/>
      <c r="R23" s="912"/>
      <c r="S23" s="912"/>
      <c r="T23" s="912"/>
      <c r="U23" s="912"/>
      <c r="V23" s="912"/>
      <c r="W23" s="912"/>
      <c r="X23" s="912"/>
    </row>
    <row r="24" spans="1:24" ht="15" customHeight="1">
      <c r="A24" s="809" t="s">
        <v>19</v>
      </c>
      <c r="B24" s="912" t="s">
        <v>14</v>
      </c>
      <c r="C24" s="1110">
        <v>315</v>
      </c>
      <c r="D24" s="1511"/>
      <c r="E24" s="1110">
        <v>332</v>
      </c>
      <c r="F24" s="634"/>
      <c r="G24" s="883">
        <f>+'Exhibit H'!AA50</f>
        <v>366.8</v>
      </c>
      <c r="H24" s="634"/>
      <c r="I24" s="634">
        <f t="shared" si="1"/>
        <v>51.8</v>
      </c>
      <c r="J24" s="931"/>
      <c r="K24" s="1511">
        <f t="shared" si="0"/>
        <v>34.800000000000011</v>
      </c>
      <c r="L24" s="959"/>
      <c r="M24" s="912"/>
      <c r="N24" s="912"/>
      <c r="O24" s="912"/>
      <c r="P24" s="912"/>
      <c r="Q24" s="912"/>
      <c r="R24" s="912"/>
      <c r="S24" s="912"/>
      <c r="T24" s="912"/>
      <c r="U24" s="912"/>
      <c r="V24" s="912"/>
      <c r="W24" s="912"/>
      <c r="X24" s="912"/>
    </row>
    <row r="25" spans="1:24" ht="15" customHeight="1">
      <c r="A25" s="809" t="s">
        <v>20</v>
      </c>
      <c r="B25" s="912" t="s">
        <v>14</v>
      </c>
      <c r="C25" s="1110">
        <v>36</v>
      </c>
      <c r="D25" s="1511"/>
      <c r="E25" s="1110">
        <v>31</v>
      </c>
      <c r="F25" s="634"/>
      <c r="G25" s="883">
        <f>+'Exhibit H'!AA52</f>
        <v>33.200000000000003</v>
      </c>
      <c r="H25" s="634"/>
      <c r="I25" s="634">
        <f t="shared" si="1"/>
        <v>-2.8</v>
      </c>
      <c r="J25" s="931"/>
      <c r="K25" s="1511">
        <f t="shared" si="0"/>
        <v>2.2000000000000028</v>
      </c>
      <c r="L25" s="959"/>
      <c r="M25" s="912"/>
      <c r="N25" s="935"/>
      <c r="O25" s="912"/>
      <c r="P25" s="935"/>
      <c r="Q25" s="936"/>
      <c r="R25" s="912"/>
      <c r="S25" s="912"/>
      <c r="T25" s="912"/>
      <c r="U25" s="912"/>
      <c r="V25" s="912"/>
      <c r="W25" s="912"/>
      <c r="X25" s="912"/>
    </row>
    <row r="26" spans="1:24">
      <c r="A26" s="809" t="s">
        <v>46</v>
      </c>
      <c r="B26" s="936" t="s">
        <v>14</v>
      </c>
      <c r="C26" s="1110">
        <v>1775</v>
      </c>
      <c r="D26" s="1511"/>
      <c r="E26" s="1110">
        <v>1513</v>
      </c>
      <c r="F26" s="634"/>
      <c r="G26" s="1467">
        <f>+'Exhibit H'!AA68</f>
        <v>1470.6</v>
      </c>
      <c r="H26" s="634"/>
      <c r="I26" s="634">
        <f t="shared" si="1"/>
        <v>-304.39999999999998</v>
      </c>
      <c r="J26" s="931"/>
      <c r="K26" s="1511">
        <f t="shared" si="0"/>
        <v>-42.400000000000091</v>
      </c>
      <c r="L26" s="959"/>
      <c r="M26" s="912"/>
      <c r="N26" s="935"/>
      <c r="O26" s="912"/>
      <c r="P26" s="935"/>
      <c r="Q26" s="936"/>
      <c r="R26" s="912"/>
      <c r="S26" s="912"/>
      <c r="T26" s="912"/>
      <c r="U26" s="912"/>
      <c r="V26" s="912"/>
      <c r="W26" s="912"/>
      <c r="X26" s="912"/>
    </row>
    <row r="27" spans="1:24" ht="18" customHeight="1">
      <c r="A27" s="951" t="s">
        <v>107</v>
      </c>
      <c r="B27" s="148" t="s">
        <v>14</v>
      </c>
      <c r="C27" s="212">
        <f>ROUND(SUM(C20:C26),1)</f>
        <v>38398</v>
      </c>
      <c r="D27" s="109"/>
      <c r="E27" s="212">
        <f>ROUND(SUM(E20:E26),1)</f>
        <v>49229</v>
      </c>
      <c r="F27" s="910"/>
      <c r="G27" s="1468">
        <f>ROUND(SUM(G20:G26),1)</f>
        <v>48728.5</v>
      </c>
      <c r="H27" s="910"/>
      <c r="I27" s="212">
        <f>ROUND(SUM(I20:I26),1)</f>
        <v>10330.5</v>
      </c>
      <c r="J27" s="73"/>
      <c r="K27" s="212">
        <f>ROUND(SUM(K20:K26),1)</f>
        <v>-500.5</v>
      </c>
      <c r="L27" s="959"/>
      <c r="M27" s="148"/>
      <c r="N27" s="148"/>
      <c r="O27" s="148"/>
      <c r="P27" s="148"/>
      <c r="Q27" s="148"/>
      <c r="R27" s="148"/>
      <c r="S27" s="148"/>
      <c r="T27" s="148"/>
      <c r="U27" s="148"/>
      <c r="V27" s="148"/>
      <c r="W27" s="148"/>
      <c r="X27" s="148"/>
    </row>
    <row r="28" spans="1:24">
      <c r="A28" s="679"/>
      <c r="B28" s="912"/>
      <c r="C28" s="677"/>
      <c r="D28" s="883"/>
      <c r="E28" s="677"/>
      <c r="F28" s="634"/>
      <c r="G28" s="1030"/>
      <c r="H28" s="634"/>
      <c r="I28" s="677"/>
      <c r="J28" s="931"/>
      <c r="K28" s="677"/>
      <c r="L28" s="959"/>
      <c r="M28" s="912"/>
      <c r="N28" s="912"/>
      <c r="O28" s="912"/>
      <c r="P28" s="912"/>
      <c r="Q28" s="912"/>
      <c r="R28" s="912"/>
      <c r="S28" s="912"/>
      <c r="T28" s="912"/>
      <c r="U28" s="912"/>
      <c r="V28" s="912"/>
      <c r="W28" s="912"/>
      <c r="X28" s="912"/>
    </row>
    <row r="29" spans="1:24" ht="15.6">
      <c r="A29" s="26" t="s">
        <v>22</v>
      </c>
      <c r="B29" s="912"/>
      <c r="C29" s="634"/>
      <c r="D29" s="883"/>
      <c r="E29" s="1511"/>
      <c r="F29" s="634"/>
      <c r="G29" s="883"/>
      <c r="H29" s="634"/>
      <c r="I29" s="634"/>
      <c r="J29" s="931"/>
      <c r="K29" s="634"/>
      <c r="L29" s="959"/>
      <c r="M29" s="912"/>
      <c r="N29" s="912"/>
      <c r="O29" s="912"/>
      <c r="P29" s="912"/>
      <c r="Q29" s="912"/>
      <c r="R29" s="912"/>
      <c r="S29" s="912"/>
      <c r="T29" s="912"/>
      <c r="U29" s="912"/>
      <c r="V29" s="912"/>
      <c r="W29" s="912"/>
      <c r="X29" s="912"/>
    </row>
    <row r="30" spans="1:24">
      <c r="A30" s="809" t="s">
        <v>93</v>
      </c>
      <c r="B30" s="933" t="s">
        <v>14</v>
      </c>
      <c r="C30" s="1110">
        <v>10</v>
      </c>
      <c r="D30" s="1511"/>
      <c r="E30" s="1110">
        <v>0</v>
      </c>
      <c r="F30" s="634"/>
      <c r="G30" s="673">
        <f>+'Exhibit H'!AA58</f>
        <v>3.4</v>
      </c>
      <c r="H30" s="634"/>
      <c r="I30" s="1511">
        <f>ROUND(SUM(G30)-SUM(C30),1)</f>
        <v>-6.6</v>
      </c>
      <c r="J30" s="931"/>
      <c r="K30" s="1511">
        <f>G30-E30</f>
        <v>3.4</v>
      </c>
      <c r="L30" s="959"/>
      <c r="M30" s="912"/>
      <c r="N30" s="933"/>
      <c r="O30" s="912"/>
      <c r="P30" s="935"/>
      <c r="Q30" s="912"/>
      <c r="R30" s="912"/>
      <c r="S30" s="935"/>
      <c r="T30" s="935"/>
      <c r="U30" s="912"/>
      <c r="V30" s="935"/>
      <c r="W30" s="912"/>
      <c r="X30" s="935"/>
    </row>
    <row r="31" spans="1:24" ht="14.25" customHeight="1">
      <c r="A31" s="809" t="s">
        <v>94</v>
      </c>
      <c r="B31" s="936" t="s">
        <v>14</v>
      </c>
      <c r="C31" s="1110">
        <v>1549</v>
      </c>
      <c r="D31" s="1511"/>
      <c r="E31" s="1110">
        <v>1451</v>
      </c>
      <c r="F31" s="634"/>
      <c r="G31" s="1110">
        <f>+'Exhibit H'!AA60</f>
        <v>1450.2</v>
      </c>
      <c r="H31" s="634"/>
      <c r="I31" s="1511">
        <f>ROUND(SUM(G31)-SUM(C31),1)</f>
        <v>-98.8</v>
      </c>
      <c r="J31" s="931"/>
      <c r="K31" s="1511">
        <f>G31-E31</f>
        <v>-0.79999999999995453</v>
      </c>
      <c r="L31" s="959"/>
      <c r="M31" s="912"/>
      <c r="N31" s="933"/>
      <c r="O31" s="912"/>
      <c r="P31" s="912"/>
      <c r="Q31" s="912"/>
      <c r="R31" s="912"/>
      <c r="S31" s="935"/>
      <c r="T31" s="935"/>
      <c r="U31" s="912"/>
      <c r="V31" s="935"/>
      <c r="W31" s="912"/>
      <c r="X31" s="935"/>
    </row>
    <row r="32" spans="1:24">
      <c r="A32" s="809" t="s">
        <v>97</v>
      </c>
      <c r="B32" s="936" t="s">
        <v>14</v>
      </c>
      <c r="C32" s="1110">
        <v>34543</v>
      </c>
      <c r="D32" s="1511"/>
      <c r="E32" s="1110">
        <v>41792</v>
      </c>
      <c r="F32" s="634"/>
      <c r="G32" s="673">
        <f>-'Exhibit H'!AA69</f>
        <v>41282.699999999997</v>
      </c>
      <c r="H32" s="634"/>
      <c r="I32" s="1511">
        <f>ROUND(SUM(G32)-SUM(C32),1)</f>
        <v>6739.7</v>
      </c>
      <c r="J32" s="931"/>
      <c r="K32" s="1511">
        <f>G32-E32</f>
        <v>-509.30000000000291</v>
      </c>
      <c r="L32" s="959"/>
      <c r="M32" s="912"/>
      <c r="N32" s="935"/>
      <c r="O32" s="912"/>
      <c r="P32" s="935"/>
      <c r="Q32" s="936"/>
      <c r="R32" s="912"/>
      <c r="S32" s="912"/>
      <c r="T32" s="912"/>
      <c r="U32" s="912"/>
      <c r="V32" s="912"/>
      <c r="W32" s="912"/>
      <c r="X32" s="912"/>
    </row>
    <row r="33" spans="1:24" ht="18" customHeight="1">
      <c r="A33" s="951" t="s">
        <v>116</v>
      </c>
      <c r="B33" s="148" t="s">
        <v>14</v>
      </c>
      <c r="C33" s="212">
        <f>ROUND(SUM(C30:C32),1)</f>
        <v>36102</v>
      </c>
      <c r="D33" s="109"/>
      <c r="E33" s="212">
        <f>ROUND(SUM(E30:E32),1)</f>
        <v>43243</v>
      </c>
      <c r="F33" s="910"/>
      <c r="G33" s="1468">
        <f>ROUND(SUM(G30:G32),1)</f>
        <v>42736.3</v>
      </c>
      <c r="H33" s="910"/>
      <c r="I33" s="212">
        <f>ROUND(SUM(I30:I32),1)</f>
        <v>6634.3</v>
      </c>
      <c r="J33" s="73"/>
      <c r="K33" s="212">
        <f>ROUND(SUM(K30:K32),1)</f>
        <v>-506.7</v>
      </c>
      <c r="L33" s="959"/>
      <c r="M33" s="148"/>
      <c r="N33" s="148"/>
      <c r="O33" s="148"/>
      <c r="P33" s="148"/>
      <c r="Q33" s="148"/>
      <c r="R33" s="148"/>
      <c r="S33" s="148"/>
      <c r="T33" s="148"/>
      <c r="U33" s="148"/>
      <c r="V33" s="148"/>
      <c r="W33" s="148"/>
      <c r="X33" s="148"/>
    </row>
    <row r="34" spans="1:24">
      <c r="A34" s="679"/>
      <c r="B34" s="912"/>
      <c r="C34" s="677"/>
      <c r="D34" s="883"/>
      <c r="E34" s="677"/>
      <c r="F34" s="634"/>
      <c r="G34" s="1030"/>
      <c r="H34" s="634"/>
      <c r="I34" s="677"/>
      <c r="J34" s="931"/>
      <c r="K34" s="677"/>
      <c r="L34" s="959"/>
      <c r="M34" s="912"/>
      <c r="N34" s="912"/>
      <c r="O34" s="912"/>
      <c r="P34" s="912"/>
      <c r="Q34" s="912"/>
      <c r="R34" s="912"/>
      <c r="S34" s="912"/>
      <c r="T34" s="912"/>
      <c r="U34" s="912"/>
      <c r="V34" s="912"/>
      <c r="W34" s="912"/>
      <c r="X34" s="912"/>
    </row>
    <row r="35" spans="1:24" ht="15.6">
      <c r="A35" s="26" t="s">
        <v>117</v>
      </c>
      <c r="B35" s="912"/>
      <c r="C35" s="634"/>
      <c r="D35" s="883"/>
      <c r="E35" s="1511"/>
      <c r="F35" s="634"/>
      <c r="G35" s="883"/>
      <c r="H35" s="634"/>
      <c r="I35" s="634"/>
      <c r="J35" s="931"/>
      <c r="K35" s="634"/>
      <c r="L35" s="959"/>
      <c r="M35" s="912"/>
      <c r="N35" s="912"/>
      <c r="O35" s="912"/>
      <c r="P35" s="912"/>
      <c r="Q35" s="912"/>
      <c r="R35" s="912"/>
      <c r="S35" s="912"/>
      <c r="T35" s="912"/>
      <c r="U35" s="912"/>
      <c r="V35" s="912"/>
      <c r="W35" s="912"/>
      <c r="X35" s="912"/>
    </row>
    <row r="36" spans="1:24" ht="15.6">
      <c r="A36" s="26" t="s">
        <v>118</v>
      </c>
      <c r="B36" s="912"/>
      <c r="C36" s="634"/>
      <c r="D36" s="883"/>
      <c r="E36" s="1511"/>
      <c r="F36" s="634"/>
      <c r="G36" s="883"/>
      <c r="H36" s="634"/>
      <c r="I36" s="634"/>
      <c r="J36" s="931"/>
      <c r="K36" s="634"/>
      <c r="L36" s="959"/>
      <c r="M36" s="912"/>
      <c r="N36" s="912"/>
      <c r="O36" s="912"/>
      <c r="P36" s="912"/>
      <c r="Q36" s="912"/>
      <c r="R36" s="912"/>
      <c r="S36" s="912"/>
      <c r="T36" s="912"/>
      <c r="U36" s="912"/>
      <c r="V36" s="912"/>
      <c r="W36" s="912"/>
      <c r="X36" s="912"/>
    </row>
    <row r="37" spans="1:24" ht="15.6">
      <c r="A37" s="951" t="s">
        <v>101</v>
      </c>
      <c r="B37" s="950" t="s">
        <v>14</v>
      </c>
      <c r="C37" s="73">
        <f>C27-C33</f>
        <v>2296</v>
      </c>
      <c r="D37" s="1093"/>
      <c r="E37" s="1512">
        <f>E27-E33</f>
        <v>5986</v>
      </c>
      <c r="F37" s="81"/>
      <c r="G37" s="112">
        <f>ROUND(SUM(G27)-SUM(G33),1)</f>
        <v>5992.2</v>
      </c>
      <c r="H37" s="81"/>
      <c r="I37" s="73">
        <f>ROUND(SUM(I27)-SUM(I33),1)</f>
        <v>3696.2</v>
      </c>
      <c r="J37" s="389"/>
      <c r="K37" s="73">
        <f>ROUND(SUM(K27)-SUM(K33),1)</f>
        <v>6.2</v>
      </c>
      <c r="L37" s="959"/>
      <c r="M37" s="171"/>
      <c r="N37" s="148"/>
      <c r="O37" s="171"/>
      <c r="P37" s="148"/>
      <c r="Q37" s="148"/>
      <c r="R37" s="171"/>
      <c r="S37" s="148"/>
      <c r="T37" s="148"/>
      <c r="U37" s="171"/>
      <c r="V37" s="148"/>
      <c r="W37" s="171"/>
      <c r="X37" s="148"/>
    </row>
    <row r="38" spans="1:24" ht="15" customHeight="1">
      <c r="C38" s="660"/>
      <c r="D38" s="1630"/>
      <c r="E38" s="660"/>
      <c r="F38" s="920"/>
      <c r="G38" s="1469"/>
      <c r="H38" s="920"/>
      <c r="I38" s="660"/>
      <c r="J38" s="660"/>
      <c r="K38" s="660"/>
      <c r="L38" s="959"/>
    </row>
    <row r="39" spans="1:24" ht="15.6">
      <c r="A39" s="966" t="str">
        <f>'Exh D-Governmental  '!A49</f>
        <v>Fund Balances (Deficits) at April 1</v>
      </c>
      <c r="B39" s="613" t="s">
        <v>14</v>
      </c>
      <c r="C39" s="112">
        <v>65</v>
      </c>
      <c r="D39" s="1630"/>
      <c r="E39" s="112">
        <v>65</v>
      </c>
      <c r="F39" s="920"/>
      <c r="G39" s="112">
        <f>'Exhibit H'!AA12</f>
        <v>65</v>
      </c>
      <c r="H39" s="920"/>
      <c r="I39" s="1382">
        <f>ROUND(SUM(G39)-SUM(C39),1)</f>
        <v>0</v>
      </c>
      <c r="J39" s="660"/>
      <c r="K39" s="910">
        <f>G39-E39</f>
        <v>0</v>
      </c>
      <c r="L39" s="959"/>
    </row>
    <row r="40" spans="1:24" ht="18" customHeight="1" thickBot="1">
      <c r="A40" s="1367" t="str">
        <f>+'Exh D-Governmental  '!A50</f>
        <v>Fund Balances (Deficits) at January 31, 2022</v>
      </c>
      <c r="B40" s="177" t="s">
        <v>14</v>
      </c>
      <c r="C40" s="95">
        <f>ROUND(SUM(C37:C39),1)</f>
        <v>2361</v>
      </c>
      <c r="D40" s="178"/>
      <c r="E40" s="95">
        <f>ROUND(SUM(E37:E39),1)</f>
        <v>6051</v>
      </c>
      <c r="F40" s="178"/>
      <c r="G40" s="1470">
        <f>ROUND(SUM(G37:G39),1)</f>
        <v>6057.2</v>
      </c>
      <c r="H40" s="178"/>
      <c r="I40" s="95">
        <f>ROUND(SUM(I37:I39),1)</f>
        <v>3696.2</v>
      </c>
      <c r="K40" s="95">
        <f>ROUND(SUM(K37:K39),1)</f>
        <v>6.2</v>
      </c>
      <c r="L40" s="959"/>
    </row>
    <row r="41" spans="1:24" ht="15" customHeight="1" thickTop="1">
      <c r="A41" s="152"/>
      <c r="C41" s="678"/>
      <c r="D41" s="937"/>
      <c r="E41" s="678"/>
      <c r="F41" s="937"/>
      <c r="G41" s="937"/>
      <c r="H41" s="937"/>
      <c r="I41" s="937"/>
      <c r="K41" s="937"/>
    </row>
    <row r="42" spans="1:24">
      <c r="A42" s="924" t="str">
        <f>'Exh D-Governmental  '!A52</f>
        <v>(*)    Source: 2021-22 Enacted Financial Plan dated May 25, 2021.</v>
      </c>
    </row>
    <row r="43" spans="1:24">
      <c r="A43" s="3867" t="str">
        <f>'Exh D-Governmental  '!A53</f>
        <v>(**)   Source: 2022-23 Executive Budget dated January 18, 2022.</v>
      </c>
    </row>
    <row r="44" spans="1:24">
      <c r="A44" s="938"/>
    </row>
    <row r="45" spans="1:24">
      <c r="A45" s="938"/>
    </row>
    <row r="47" spans="1:24">
      <c r="A47" s="201"/>
    </row>
    <row r="48" spans="1:24">
      <c r="A48" s="201"/>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80" workbookViewId="0"/>
  </sheetViews>
  <sheetFormatPr defaultColWidth="8.81640625" defaultRowHeight="15"/>
  <cols>
    <col min="1" max="1" width="54" style="919" customWidth="1"/>
    <col min="2" max="2" width="2.08984375" style="923" customWidth="1"/>
    <col min="3" max="3" width="18.08984375" style="422" bestFit="1" customWidth="1"/>
    <col min="4" max="4" width="0.81640625" style="923" customWidth="1"/>
    <col min="5" max="5" width="15.453125" style="422" customWidth="1"/>
    <col min="6" max="6" width="0.81640625" style="923" customWidth="1"/>
    <col min="7" max="7" width="14" style="923" customWidth="1"/>
    <col min="8" max="8" width="1.453125" style="923" customWidth="1"/>
    <col min="9" max="9" width="15" style="923" customWidth="1"/>
    <col min="10" max="10" width="1.54296875" style="923" customWidth="1"/>
    <col min="11" max="11" width="15" style="923" customWidth="1"/>
    <col min="12" max="12" width="1" style="923" customWidth="1"/>
    <col min="13" max="13" width="15.08984375" style="939" customWidth="1"/>
    <col min="14" max="14" width="1" style="923" customWidth="1"/>
    <col min="15" max="15" width="14" style="923" customWidth="1"/>
    <col min="16" max="19" width="8.81640625" style="923"/>
    <col min="20" max="16384" width="8.81640625" style="919"/>
  </cols>
  <sheetData>
    <row r="1" spans="1:34">
      <c r="A1" s="635" t="s">
        <v>881</v>
      </c>
    </row>
    <row r="2" spans="1:34" ht="16.8">
      <c r="A2" s="182"/>
      <c r="B2" s="184"/>
      <c r="C2" s="416"/>
      <c r="D2" s="184"/>
      <c r="E2" s="416"/>
      <c r="F2" s="184"/>
      <c r="G2" s="184"/>
      <c r="H2" s="184"/>
      <c r="I2" s="184"/>
      <c r="J2" s="184"/>
      <c r="K2" s="184"/>
      <c r="L2" s="184"/>
      <c r="M2" s="1619"/>
    </row>
    <row r="3" spans="1:34" ht="19.5" customHeight="1">
      <c r="A3" s="188" t="s">
        <v>0</v>
      </c>
      <c r="B3" s="145"/>
      <c r="C3" s="418"/>
      <c r="D3" s="140"/>
      <c r="E3" s="419"/>
      <c r="F3" s="140"/>
      <c r="G3" s="140"/>
      <c r="H3" s="140"/>
      <c r="I3" s="140"/>
      <c r="J3" s="140"/>
      <c r="K3" s="140"/>
      <c r="L3" s="140"/>
      <c r="M3" s="810"/>
      <c r="O3" s="810" t="s">
        <v>82</v>
      </c>
    </row>
    <row r="4" spans="1:34" ht="19.5" customHeight="1">
      <c r="A4" s="188" t="s">
        <v>81</v>
      </c>
      <c r="B4" s="145"/>
      <c r="C4" s="418"/>
      <c r="D4" s="140"/>
      <c r="E4" s="419"/>
      <c r="F4" s="140"/>
      <c r="G4" s="140"/>
      <c r="H4" s="140"/>
      <c r="I4" s="140"/>
      <c r="J4" s="140"/>
      <c r="K4" s="140"/>
      <c r="L4" s="140"/>
      <c r="M4" s="811"/>
      <c r="O4" s="811"/>
    </row>
    <row r="5" spans="1:34" ht="19.5" customHeight="1">
      <c r="A5" s="3966" t="str">
        <f>'Exh D-Governmental  '!A5:E5</f>
        <v>FISCAL YEAR 2021-2022</v>
      </c>
      <c r="B5" s="3967"/>
      <c r="C5" s="3967"/>
      <c r="D5" s="3967"/>
      <c r="E5" s="3967"/>
      <c r="F5" s="140"/>
      <c r="G5" s="140"/>
      <c r="H5" s="140"/>
      <c r="I5" s="140"/>
      <c r="J5" s="140"/>
      <c r="K5" s="140"/>
      <c r="L5" s="140"/>
      <c r="M5" s="145"/>
    </row>
    <row r="6" spans="1:34" ht="19.5" customHeight="1">
      <c r="A6" s="1458" t="str">
        <f>+'Exh D-Governmental  '!A6</f>
        <v xml:space="preserve">FOR TEN MONTHS ENDED JANUARY 31, 2022    </v>
      </c>
      <c r="B6" s="144"/>
      <c r="C6" s="418"/>
      <c r="D6" s="140"/>
      <c r="E6" s="419"/>
      <c r="F6" s="140"/>
      <c r="G6" s="140"/>
      <c r="H6" s="140"/>
      <c r="I6" s="140"/>
      <c r="J6" s="140"/>
      <c r="K6" s="140"/>
      <c r="L6" s="140"/>
      <c r="M6" s="145"/>
      <c r="N6" s="140"/>
      <c r="O6" s="153"/>
      <c r="P6" s="153"/>
      <c r="Q6" s="153"/>
      <c r="R6" s="153"/>
      <c r="S6" s="153"/>
      <c r="T6" s="153"/>
      <c r="U6" s="153"/>
      <c r="V6" s="153"/>
      <c r="W6" s="153"/>
      <c r="X6" s="153"/>
      <c r="Y6" s="153"/>
      <c r="Z6" s="153"/>
      <c r="AA6" s="153"/>
      <c r="AB6" s="153"/>
      <c r="AC6" s="613"/>
      <c r="AD6" s="613"/>
      <c r="AE6" s="613"/>
      <c r="AF6" s="613"/>
      <c r="AG6" s="613"/>
      <c r="AH6" s="923"/>
    </row>
    <row r="7" spans="1:34" ht="19.5" customHeight="1">
      <c r="A7" s="188" t="s">
        <v>1264</v>
      </c>
      <c r="B7" s="145"/>
      <c r="C7" s="418"/>
      <c r="D7" s="140"/>
      <c r="E7" s="419"/>
      <c r="F7" s="140"/>
      <c r="G7" s="140"/>
      <c r="H7" s="140"/>
      <c r="I7" s="140"/>
      <c r="J7" s="140"/>
      <c r="K7" s="140"/>
      <c r="L7" s="140"/>
      <c r="M7" s="145"/>
    </row>
    <row r="8" spans="1:34" ht="17.399999999999999">
      <c r="A8" s="190"/>
      <c r="B8" s="145"/>
      <c r="C8" s="952"/>
      <c r="D8" s="153"/>
      <c r="E8" s="419"/>
      <c r="F8" s="140"/>
      <c r="G8" s="140"/>
      <c r="H8" s="140"/>
      <c r="I8" s="140"/>
      <c r="J8" s="140"/>
      <c r="K8" s="140"/>
      <c r="L8" s="140"/>
      <c r="M8" s="145"/>
    </row>
    <row r="9" spans="1:34">
      <c r="A9" s="147"/>
      <c r="B9" s="140"/>
      <c r="C9" s="1172"/>
      <c r="D9" s="153"/>
      <c r="E9" s="419"/>
      <c r="F9" s="140"/>
      <c r="G9" s="140"/>
      <c r="H9" s="140"/>
      <c r="I9" s="140"/>
      <c r="J9" s="140"/>
      <c r="K9" s="140"/>
      <c r="L9" s="140"/>
      <c r="M9" s="145"/>
    </row>
    <row r="10" spans="1:34">
      <c r="A10" s="147"/>
      <c r="B10" s="140"/>
      <c r="C10" s="952"/>
      <c r="D10" s="144"/>
      <c r="E10" s="418"/>
      <c r="F10" s="145"/>
      <c r="G10" s="145"/>
      <c r="H10" s="145"/>
      <c r="I10" s="145"/>
      <c r="J10" s="145"/>
      <c r="K10" s="145"/>
      <c r="L10" s="145"/>
      <c r="M10" s="145"/>
      <c r="N10" s="939"/>
    </row>
    <row r="11" spans="1:34" ht="15.6">
      <c r="A11" s="679"/>
      <c r="B11" s="148"/>
      <c r="C11" s="1167"/>
      <c r="D11" s="1178"/>
      <c r="E11" s="1167"/>
      <c r="F11" s="1176"/>
      <c r="G11" s="1186"/>
      <c r="H11" s="1176"/>
      <c r="I11" s="1403" t="s">
        <v>1041</v>
      </c>
      <c r="J11" s="1617"/>
      <c r="K11" s="1617"/>
      <c r="L11" s="1617"/>
      <c r="M11" s="1176"/>
      <c r="N11" s="1179"/>
      <c r="O11" s="1164"/>
    </row>
    <row r="12" spans="1:34" ht="15.6">
      <c r="A12" s="679"/>
      <c r="B12" s="148"/>
      <c r="C12" s="149"/>
      <c r="D12" s="149"/>
      <c r="E12" s="149"/>
      <c r="F12" s="149"/>
      <c r="G12" s="149"/>
      <c r="H12" s="149"/>
      <c r="I12" s="149"/>
      <c r="J12" s="149"/>
      <c r="K12" s="149"/>
      <c r="L12" s="149"/>
      <c r="M12" s="196" t="s">
        <v>83</v>
      </c>
      <c r="N12" s="150"/>
      <c r="O12" s="150" t="s">
        <v>83</v>
      </c>
    </row>
    <row r="13" spans="1:34" ht="15.6">
      <c r="A13" s="679"/>
      <c r="B13" s="148"/>
      <c r="C13" s="149"/>
      <c r="D13" s="149"/>
      <c r="E13" s="149"/>
      <c r="F13" s="149"/>
      <c r="G13" s="149"/>
      <c r="H13" s="149"/>
      <c r="I13" s="149"/>
      <c r="J13" s="149"/>
      <c r="K13" s="149"/>
      <c r="L13" s="149"/>
      <c r="M13" s="196" t="s">
        <v>795</v>
      </c>
      <c r="N13" s="150"/>
      <c r="O13" s="150" t="s">
        <v>795</v>
      </c>
    </row>
    <row r="14" spans="1:34" ht="15.6">
      <c r="A14" s="679"/>
      <c r="B14" s="148"/>
      <c r="C14" s="151" t="s">
        <v>988</v>
      </c>
      <c r="D14" s="149"/>
      <c r="E14" s="150" t="s">
        <v>989</v>
      </c>
      <c r="F14" s="149"/>
      <c r="G14" s="149"/>
      <c r="H14" s="149"/>
      <c r="I14" s="149"/>
      <c r="J14" s="149"/>
      <c r="K14" s="149"/>
      <c r="L14" s="149"/>
      <c r="M14" s="196" t="s">
        <v>84</v>
      </c>
      <c r="N14" s="150"/>
      <c r="O14" s="150" t="s">
        <v>84</v>
      </c>
    </row>
    <row r="15" spans="1:34" ht="15.75" customHeight="1">
      <c r="A15" s="679"/>
      <c r="B15" s="148"/>
      <c r="C15" s="150" t="s">
        <v>1024</v>
      </c>
      <c r="D15" s="149"/>
      <c r="E15" s="150" t="s">
        <v>1024</v>
      </c>
      <c r="F15" s="149"/>
      <c r="G15" s="149"/>
      <c r="H15" s="149"/>
      <c r="I15" s="149"/>
      <c r="J15" s="149"/>
      <c r="K15" s="149"/>
      <c r="L15" s="149"/>
      <c r="M15" s="196" t="s">
        <v>988</v>
      </c>
      <c r="N15" s="150"/>
      <c r="O15" s="150" t="s">
        <v>989</v>
      </c>
    </row>
    <row r="16" spans="1:34" ht="15.6">
      <c r="A16" s="679"/>
      <c r="B16" s="148"/>
      <c r="C16" s="150" t="s">
        <v>1025</v>
      </c>
      <c r="D16" s="149"/>
      <c r="E16" s="150" t="s">
        <v>1511</v>
      </c>
      <c r="F16" s="149"/>
      <c r="G16" s="151" t="s">
        <v>83</v>
      </c>
      <c r="H16" s="149"/>
      <c r="I16" s="1199" t="s">
        <v>1157</v>
      </c>
      <c r="J16" s="149"/>
      <c r="K16" s="1199" t="s">
        <v>721</v>
      </c>
      <c r="L16" s="149"/>
      <c r="M16" s="196" t="s">
        <v>85</v>
      </c>
      <c r="N16" s="150"/>
      <c r="O16" s="150" t="s">
        <v>85</v>
      </c>
    </row>
    <row r="17" spans="1:34">
      <c r="A17" s="152"/>
      <c r="B17" s="153"/>
      <c r="C17" s="154"/>
      <c r="D17" s="153"/>
      <c r="E17" s="154"/>
      <c r="F17" s="140"/>
      <c r="G17" s="154"/>
      <c r="H17" s="140"/>
      <c r="I17" s="140"/>
      <c r="J17" s="140"/>
      <c r="K17" s="140"/>
      <c r="L17" s="140"/>
      <c r="M17" s="1620"/>
      <c r="O17" s="154"/>
    </row>
    <row r="18" spans="1:34" ht="15.6">
      <c r="A18" s="26" t="s">
        <v>13</v>
      </c>
      <c r="B18" s="912"/>
      <c r="C18" s="648"/>
      <c r="D18" s="912"/>
      <c r="E18" s="648"/>
      <c r="F18" s="648"/>
      <c r="G18" s="648" t="s">
        <v>14</v>
      </c>
      <c r="H18" s="648"/>
      <c r="I18" s="648"/>
      <c r="J18" s="648"/>
      <c r="K18" s="648"/>
      <c r="L18" s="648"/>
      <c r="M18" s="1621"/>
      <c r="O18" s="648"/>
    </row>
    <row r="19" spans="1:34">
      <c r="A19" s="809" t="s">
        <v>86</v>
      </c>
      <c r="B19" s="913" t="s">
        <v>14</v>
      </c>
      <c r="C19" s="649"/>
      <c r="D19" s="959"/>
      <c r="E19" s="649"/>
      <c r="F19" s="649"/>
      <c r="G19" s="941"/>
      <c r="H19" s="651"/>
      <c r="I19" s="651"/>
      <c r="J19" s="651"/>
      <c r="K19" s="651"/>
      <c r="L19" s="651"/>
      <c r="M19" s="882"/>
      <c r="N19" s="912"/>
      <c r="O19" s="649"/>
      <c r="P19" s="912"/>
      <c r="Q19" s="912"/>
      <c r="R19" s="912"/>
      <c r="S19" s="912"/>
      <c r="T19" s="912"/>
      <c r="U19" s="912"/>
      <c r="V19" s="912"/>
      <c r="W19" s="912"/>
      <c r="X19" s="912"/>
      <c r="Y19" s="912"/>
      <c r="Z19" s="912"/>
      <c r="AA19" s="912"/>
      <c r="AB19" s="912"/>
      <c r="AC19" s="613"/>
      <c r="AD19" s="613"/>
      <c r="AE19" s="613"/>
      <c r="AF19" s="613"/>
      <c r="AG19" s="613"/>
      <c r="AH19" s="923"/>
    </row>
    <row r="20" spans="1:34">
      <c r="A20" s="809" t="s">
        <v>88</v>
      </c>
      <c r="B20" s="912" t="s">
        <v>14</v>
      </c>
      <c r="C20" s="929">
        <f>'Exh D Captl Projects State Fed'!C20+'Exh D Captl Projects State Fed'!M20</f>
        <v>510</v>
      </c>
      <c r="D20" s="931"/>
      <c r="E20" s="929">
        <f>'Exh D Captl Projects State Fed'!E20+'Exh D Captl Projects State Fed'!O20</f>
        <v>520</v>
      </c>
      <c r="F20" s="650"/>
      <c r="G20" s="929">
        <f>+'Exh D Captl Projects State Fed'!G20</f>
        <v>513.70000000000005</v>
      </c>
      <c r="H20" s="650"/>
      <c r="I20" s="929">
        <v>0</v>
      </c>
      <c r="J20" s="650"/>
      <c r="K20" s="1625">
        <f>+G20+I20</f>
        <v>513.70000000000005</v>
      </c>
      <c r="L20" s="650"/>
      <c r="M20" s="882">
        <f>K20-C20</f>
        <v>3.7000000000000455</v>
      </c>
      <c r="N20" s="912"/>
      <c r="O20" s="882">
        <f>K20-E20</f>
        <v>-6.2999999999999545</v>
      </c>
      <c r="P20" s="912"/>
      <c r="Q20" s="912"/>
      <c r="R20" s="912"/>
      <c r="S20" s="912"/>
      <c r="T20" s="912"/>
      <c r="U20" s="912"/>
      <c r="V20" s="912"/>
      <c r="W20" s="912"/>
      <c r="X20" s="912"/>
      <c r="Y20" s="912"/>
      <c r="Z20" s="912"/>
      <c r="AA20" s="912"/>
      <c r="AB20" s="912"/>
      <c r="AC20" s="613"/>
      <c r="AD20" s="613"/>
      <c r="AE20" s="613"/>
      <c r="AF20" s="613"/>
      <c r="AG20" s="613"/>
      <c r="AH20" s="923"/>
    </row>
    <row r="21" spans="1:34">
      <c r="A21" s="809" t="s">
        <v>89</v>
      </c>
      <c r="B21" s="913" t="s">
        <v>14</v>
      </c>
      <c r="C21" s="675">
        <f>'Exh D Captl Projects State Fed'!C21+'Exh D Captl Projects State Fed'!M21</f>
        <v>506</v>
      </c>
      <c r="D21" s="931"/>
      <c r="E21" s="675">
        <f>'Exh D Captl Projects State Fed'!E21+'Exh D Captl Projects State Fed'!O21</f>
        <v>498</v>
      </c>
      <c r="F21" s="650"/>
      <c r="G21" s="675">
        <f>+'Exh D Captl Projects State Fed'!G21</f>
        <v>494.7</v>
      </c>
      <c r="H21" s="650"/>
      <c r="I21" s="650">
        <v>0</v>
      </c>
      <c r="J21" s="650"/>
      <c r="K21" s="3045">
        <f t="shared" ref="K21:K26" si="0">+G21+I21</f>
        <v>494.7</v>
      </c>
      <c r="L21" s="650"/>
      <c r="M21" s="883">
        <f t="shared" ref="M21:M26" si="1">ROUND(SUM(K21)-SUM(C21),1)</f>
        <v>-11.3</v>
      </c>
      <c r="N21" s="933"/>
      <c r="O21" s="883">
        <f t="shared" ref="O21:O26" si="2">K21-E21</f>
        <v>-3.3000000000000114</v>
      </c>
      <c r="P21" s="912"/>
      <c r="Q21" s="933"/>
      <c r="R21" s="912"/>
      <c r="S21" s="933"/>
      <c r="T21" s="912"/>
      <c r="U21" s="912"/>
      <c r="V21" s="933"/>
      <c r="W21" s="912"/>
      <c r="X21" s="912"/>
      <c r="Y21" s="933"/>
      <c r="Z21" s="200"/>
      <c r="AA21" s="933"/>
      <c r="AB21" s="912"/>
      <c r="AC21" s="613"/>
      <c r="AD21" s="613"/>
      <c r="AE21" s="613"/>
      <c r="AF21" s="613"/>
      <c r="AG21" s="613"/>
      <c r="AH21" s="923"/>
    </row>
    <row r="22" spans="1:34">
      <c r="A22" s="809" t="s">
        <v>90</v>
      </c>
      <c r="B22" s="912" t="s">
        <v>14</v>
      </c>
      <c r="C22" s="675">
        <f>'Exh D Captl Projects State Fed'!C22+'Exh D Captl Projects State Fed'!M22</f>
        <v>96</v>
      </c>
      <c r="D22" s="931"/>
      <c r="E22" s="675">
        <f>'Exh D Captl Projects State Fed'!E22+'Exh D Captl Projects State Fed'!O22</f>
        <v>95</v>
      </c>
      <c r="F22" s="650"/>
      <c r="G22" s="675">
        <f>+'Exh D Captl Projects State Fed'!G22</f>
        <v>95.3</v>
      </c>
      <c r="H22" s="650"/>
      <c r="I22" s="650">
        <v>0</v>
      </c>
      <c r="J22" s="650"/>
      <c r="K22" s="1626">
        <f>+G22+I22</f>
        <v>95.3</v>
      </c>
      <c r="L22" s="650"/>
      <c r="M22" s="883">
        <f t="shared" si="1"/>
        <v>-0.7</v>
      </c>
      <c r="N22" s="912"/>
      <c r="O22" s="883">
        <f t="shared" si="2"/>
        <v>0.29999999999999716</v>
      </c>
      <c r="P22" s="912"/>
      <c r="Q22" s="912"/>
      <c r="R22" s="912"/>
      <c r="S22" s="912"/>
      <c r="T22" s="912"/>
      <c r="U22" s="912"/>
      <c r="V22" s="912"/>
      <c r="W22" s="912"/>
      <c r="X22" s="912"/>
      <c r="Y22" s="912"/>
      <c r="Z22" s="912"/>
      <c r="AA22" s="912"/>
      <c r="AB22" s="912"/>
      <c r="AC22" s="613"/>
      <c r="AD22" s="613"/>
      <c r="AE22" s="613"/>
      <c r="AF22" s="613"/>
      <c r="AG22" s="613"/>
      <c r="AH22" s="923"/>
    </row>
    <row r="23" spans="1:34">
      <c r="A23" s="809" t="s">
        <v>19</v>
      </c>
      <c r="B23" s="912" t="s">
        <v>14</v>
      </c>
      <c r="C23" s="675">
        <f>'Exh D Captl Projects State Fed'!C23+'Exh D Captl Projects State Fed'!M23</f>
        <v>5695</v>
      </c>
      <c r="D23" s="931"/>
      <c r="E23" s="675">
        <f>'Exh D Captl Projects State Fed'!E23+'Exh D Captl Projects State Fed'!O23</f>
        <v>3831</v>
      </c>
      <c r="F23" s="634"/>
      <c r="G23" s="634">
        <f>+'Exh D Captl Projects State Fed'!G23+'Exh D Captl Projects State Fed'!Q23</f>
        <v>3294.7999999999997</v>
      </c>
      <c r="H23" s="634"/>
      <c r="I23" s="1511">
        <v>0</v>
      </c>
      <c r="J23" s="1511"/>
      <c r="K23" s="1626">
        <f t="shared" si="0"/>
        <v>3294.7999999999997</v>
      </c>
      <c r="L23" s="1511"/>
      <c r="M23" s="883">
        <f t="shared" si="1"/>
        <v>-2400.1999999999998</v>
      </c>
      <c r="O23" s="883">
        <f t="shared" si="2"/>
        <v>-536.20000000000027</v>
      </c>
    </row>
    <row r="24" spans="1:34">
      <c r="A24" s="809" t="s">
        <v>20</v>
      </c>
      <c r="B24" s="912" t="s">
        <v>14</v>
      </c>
      <c r="C24" s="675">
        <f>'Exh D Captl Projects State Fed'!C24+'Exh D Captl Projects State Fed'!M24</f>
        <v>2032</v>
      </c>
      <c r="D24" s="931"/>
      <c r="E24" s="675">
        <f>'Exh D Captl Projects State Fed'!E24+'Exh D Captl Projects State Fed'!O24</f>
        <v>1618</v>
      </c>
      <c r="F24" s="634"/>
      <c r="G24" s="634">
        <f>+'Exh D Captl Projects State Fed'!G24+'Exh D Captl Projects State Fed'!Q24</f>
        <v>1564.3</v>
      </c>
      <c r="H24" s="634"/>
      <c r="I24" s="1511">
        <v>0</v>
      </c>
      <c r="J24" s="1511"/>
      <c r="K24" s="1626">
        <f t="shared" si="0"/>
        <v>1564.3</v>
      </c>
      <c r="L24" s="1511"/>
      <c r="M24" s="883">
        <f t="shared" si="1"/>
        <v>-467.7</v>
      </c>
      <c r="O24" s="883">
        <f t="shared" si="2"/>
        <v>-53.700000000000045</v>
      </c>
    </row>
    <row r="25" spans="1:34">
      <c r="A25" s="809" t="s">
        <v>96</v>
      </c>
      <c r="B25" s="912" t="s">
        <v>14</v>
      </c>
      <c r="C25" s="675">
        <f>'Exh D Captl Projects State Fed'!C25+'Exh D Captl Projects State Fed'!M25</f>
        <v>0</v>
      </c>
      <c r="D25" s="1177"/>
      <c r="E25" s="675">
        <f>'Exh D Captl Projects State Fed'!E25+'Exh D Captl Projects State Fed'!O25</f>
        <v>0</v>
      </c>
      <c r="F25" s="634"/>
      <c r="G25" s="650">
        <f>+'Exh D Captl Projects State Fed'!G25+'Exh D Captl Projects State Fed'!Q25</f>
        <v>0</v>
      </c>
      <c r="H25" s="634"/>
      <c r="I25" s="1511">
        <v>0</v>
      </c>
      <c r="J25" s="1511"/>
      <c r="K25" s="650">
        <f t="shared" si="0"/>
        <v>0</v>
      </c>
      <c r="L25" s="1511"/>
      <c r="M25" s="883">
        <f t="shared" si="1"/>
        <v>0</v>
      </c>
      <c r="O25" s="883">
        <f t="shared" si="2"/>
        <v>0</v>
      </c>
    </row>
    <row r="26" spans="1:34">
      <c r="A26" s="809" t="s">
        <v>46</v>
      </c>
      <c r="B26" s="912" t="s">
        <v>14</v>
      </c>
      <c r="C26" s="675">
        <f>'Exh D Captl Projects State Fed'!C26+'Exh D Captl Projects State Fed'!M26</f>
        <v>3411</v>
      </c>
      <c r="D26" s="931"/>
      <c r="E26" s="675">
        <f>'Exh D Captl Projects State Fed'!E26+'Exh D Captl Projects State Fed'!O26</f>
        <v>4487</v>
      </c>
      <c r="F26" s="634"/>
      <c r="G26" s="671">
        <f>+'Exh D Captl Projects State Fed'!G26+'Exh D Captl Projects State Fed'!Q26</f>
        <v>4781.3</v>
      </c>
      <c r="H26" s="634"/>
      <c r="I26" s="883">
        <f>'Exhibit I'!AC93</f>
        <v>0</v>
      </c>
      <c r="J26" s="1511"/>
      <c r="K26" s="1626">
        <f t="shared" si="0"/>
        <v>4781.3</v>
      </c>
      <c r="L26" s="1511"/>
      <c r="M26" s="883">
        <f t="shared" si="1"/>
        <v>1370.3</v>
      </c>
      <c r="O26" s="883">
        <f t="shared" si="2"/>
        <v>294.30000000000018</v>
      </c>
    </row>
    <row r="27" spans="1:34" ht="18" customHeight="1">
      <c r="A27" s="1109" t="s">
        <v>107</v>
      </c>
      <c r="B27" s="148" t="s">
        <v>14</v>
      </c>
      <c r="C27" s="1853">
        <f>ROUND(SUM(C20:C26),1)</f>
        <v>12250</v>
      </c>
      <c r="D27" s="1512"/>
      <c r="E27" s="1853">
        <f>ROUND(SUM(E20:E26),1)</f>
        <v>11049</v>
      </c>
      <c r="F27" s="910"/>
      <c r="G27" s="212">
        <f>ROUND(SUM(G20:G26),1)</f>
        <v>10744.1</v>
      </c>
      <c r="H27" s="910"/>
      <c r="I27" s="1522">
        <f>ROUND(SUM(I20:I26),1)</f>
        <v>0</v>
      </c>
      <c r="J27" s="910"/>
      <c r="K27" s="1522">
        <f>ROUND(SUM(K20:K26),1)</f>
        <v>10744.1</v>
      </c>
      <c r="L27" s="910"/>
      <c r="M27" s="1468">
        <f>ROUND(SUM(M20:M26),1)</f>
        <v>-1505.9</v>
      </c>
      <c r="O27" s="212">
        <f>ROUND(SUM(O20:O26),1)</f>
        <v>-304.89999999999998</v>
      </c>
    </row>
    <row r="28" spans="1:34">
      <c r="A28" s="679"/>
      <c r="B28" s="912" t="s">
        <v>14</v>
      </c>
      <c r="C28" s="1851"/>
      <c r="D28" s="931"/>
      <c r="E28" s="1851"/>
      <c r="F28" s="634"/>
      <c r="G28" s="677"/>
      <c r="H28" s="634"/>
      <c r="I28" s="1511"/>
      <c r="J28" s="1511"/>
      <c r="K28" s="1511"/>
      <c r="L28" s="1511"/>
      <c r="M28" s="1030" t="s">
        <v>14</v>
      </c>
      <c r="O28" s="677" t="s">
        <v>14</v>
      </c>
    </row>
    <row r="29" spans="1:34" ht="15.6">
      <c r="A29" s="26" t="s">
        <v>22</v>
      </c>
      <c r="B29" s="912" t="s">
        <v>14</v>
      </c>
      <c r="C29" s="1511"/>
      <c r="D29" s="931"/>
      <c r="E29" s="1511"/>
      <c r="F29" s="634"/>
      <c r="G29" s="634"/>
      <c r="H29" s="634"/>
      <c r="I29" s="1511"/>
      <c r="J29" s="1511"/>
      <c r="K29" s="1511"/>
      <c r="L29" s="1511"/>
      <c r="M29" s="883"/>
      <c r="O29" s="634"/>
    </row>
    <row r="30" spans="1:34">
      <c r="A30" s="809" t="s">
        <v>92</v>
      </c>
      <c r="B30" s="912" t="s">
        <v>14</v>
      </c>
      <c r="C30" s="675">
        <f>'Exh D Captl Projects State Fed'!C30+'Exh D Captl Projects State Fed'!M30</f>
        <v>5439</v>
      </c>
      <c r="D30" s="931"/>
      <c r="E30" s="675">
        <f>'Exh D Captl Projects State Fed'!E30+'Exh D Captl Projects State Fed'!O30</f>
        <v>5185</v>
      </c>
      <c r="F30" s="634"/>
      <c r="G30" s="634">
        <f>+'Exh D Captl Projects State Fed'!G30+'Exh D Captl Projects State Fed'!Q30</f>
        <v>4809.2000000000007</v>
      </c>
      <c r="H30" s="634"/>
      <c r="I30" s="1511">
        <v>0</v>
      </c>
      <c r="J30" s="1511"/>
      <c r="K30" s="1626">
        <f>+G30+I30</f>
        <v>4809.2000000000007</v>
      </c>
      <c r="L30" s="1511"/>
      <c r="M30" s="883">
        <f>ROUND(SUM(K30)-SUM(C30),1)</f>
        <v>-629.79999999999995</v>
      </c>
      <c r="O30" s="883">
        <f>K30-E30</f>
        <v>-375.79999999999927</v>
      </c>
    </row>
    <row r="31" spans="1:34">
      <c r="A31" s="809" t="s">
        <v>41</v>
      </c>
      <c r="B31" s="912" t="s">
        <v>14</v>
      </c>
      <c r="C31" s="675">
        <f>'Exh D Captl Projects State Fed'!C31+'Exh D Captl Projects State Fed'!M31</f>
        <v>7129</v>
      </c>
      <c r="D31" s="1177"/>
      <c r="E31" s="675">
        <f>'Exh D Captl Projects State Fed'!E31+'Exh D Captl Projects State Fed'!O31</f>
        <v>6251</v>
      </c>
      <c r="F31" s="634"/>
      <c r="G31" s="634">
        <f>+'Exh D Captl Projects State Fed'!G31+'Exh D Captl Projects State Fed'!Q31</f>
        <v>6062.4</v>
      </c>
      <c r="H31" s="634"/>
      <c r="I31" s="1511">
        <v>0</v>
      </c>
      <c r="J31" s="1511"/>
      <c r="K31" s="1626">
        <f>+G31+I31</f>
        <v>6062.4</v>
      </c>
      <c r="L31" s="1511"/>
      <c r="M31" s="883">
        <f>ROUND(SUM(K31)-SUM(C31),1)</f>
        <v>-1066.5999999999999</v>
      </c>
      <c r="O31" s="883">
        <f t="shared" ref="O31:O32" si="3">K31-E31</f>
        <v>-188.60000000000036</v>
      </c>
    </row>
    <row r="32" spans="1:34">
      <c r="A32" s="809" t="s">
        <v>97</v>
      </c>
      <c r="B32" s="912" t="s">
        <v>14</v>
      </c>
      <c r="C32" s="675">
        <f>'Exh D Captl Projects State Fed'!C32+'Exh D Captl Projects State Fed'!M32</f>
        <v>319</v>
      </c>
      <c r="D32" s="931"/>
      <c r="E32" s="675">
        <f>'Exh D Captl Projects State Fed'!E32+'Exh D Captl Projects State Fed'!O32</f>
        <v>344</v>
      </c>
      <c r="F32" s="634"/>
      <c r="G32" s="634">
        <f>+'Exh D Captl Projects State Fed'!G32+'Exh D Captl Projects State Fed'!Q32</f>
        <v>342.79999999999995</v>
      </c>
      <c r="H32" s="634"/>
      <c r="I32" s="883">
        <f>-'Exhibit I'!AC94</f>
        <v>0</v>
      </c>
      <c r="J32" s="1511"/>
      <c r="K32" s="1626">
        <f>+G32+I32</f>
        <v>342.79999999999995</v>
      </c>
      <c r="L32" s="1511"/>
      <c r="M32" s="883">
        <f>ROUND(SUM(K32)-SUM(C32),1)</f>
        <v>23.8</v>
      </c>
      <c r="O32" s="883">
        <f t="shared" si="3"/>
        <v>-1.2000000000000455</v>
      </c>
    </row>
    <row r="33" spans="1:34" ht="18" customHeight="1">
      <c r="A33" s="1109" t="s">
        <v>116</v>
      </c>
      <c r="B33" s="148" t="s">
        <v>14</v>
      </c>
      <c r="C33" s="1853">
        <f>ROUND(SUM(C30:C32),1)</f>
        <v>12887</v>
      </c>
      <c r="D33" s="1512"/>
      <c r="E33" s="1853">
        <f>ROUND(SUM(E30:E32),1)</f>
        <v>11780</v>
      </c>
      <c r="F33" s="910"/>
      <c r="G33" s="212">
        <f>ROUND(SUM(G30:G32),1)</f>
        <v>11214.4</v>
      </c>
      <c r="H33" s="910"/>
      <c r="I33" s="1522">
        <f>ROUND(SUM(I30:I32),1)</f>
        <v>0</v>
      </c>
      <c r="J33" s="910"/>
      <c r="K33" s="1522">
        <f>ROUND(SUM(K30:K32),1)</f>
        <v>11214.4</v>
      </c>
      <c r="L33" s="910"/>
      <c r="M33" s="1468">
        <f>ROUND(SUM(M30:M32),1)</f>
        <v>-1672.6</v>
      </c>
      <c r="O33" s="212">
        <f>ROUND(SUM(O30:O32),1)</f>
        <v>-565.6</v>
      </c>
    </row>
    <row r="34" spans="1:34">
      <c r="A34" s="679"/>
      <c r="B34" s="912" t="s">
        <v>14</v>
      </c>
      <c r="C34" s="1851"/>
      <c r="D34" s="931"/>
      <c r="E34" s="1851"/>
      <c r="F34" s="634"/>
      <c r="G34" s="677"/>
      <c r="H34" s="634"/>
      <c r="I34" s="1511"/>
      <c r="J34" s="1511"/>
      <c r="K34" s="1511"/>
      <c r="L34" s="1511"/>
      <c r="M34" s="1030"/>
      <c r="O34" s="677"/>
    </row>
    <row r="35" spans="1:34" ht="15.6">
      <c r="A35" s="26" t="s">
        <v>99</v>
      </c>
      <c r="B35" s="912"/>
      <c r="C35" s="1511"/>
      <c r="D35" s="931"/>
      <c r="E35" s="1511"/>
      <c r="F35" s="634"/>
      <c r="G35" s="634"/>
      <c r="H35" s="634"/>
      <c r="I35" s="1511"/>
      <c r="J35" s="1511"/>
      <c r="K35" s="1511"/>
      <c r="L35" s="1511"/>
      <c r="M35" s="883"/>
      <c r="O35" s="634"/>
    </row>
    <row r="36" spans="1:34" ht="15.6">
      <c r="A36" s="26" t="s">
        <v>100</v>
      </c>
      <c r="B36" s="912"/>
      <c r="C36" s="1511"/>
      <c r="D36" s="931"/>
      <c r="E36" s="1511"/>
      <c r="F36" s="634"/>
      <c r="G36" s="634"/>
      <c r="H36" s="634"/>
      <c r="I36" s="1511"/>
      <c r="J36" s="1511"/>
      <c r="K36" s="1511"/>
      <c r="L36" s="1511"/>
      <c r="M36" s="883"/>
      <c r="O36" s="634"/>
    </row>
    <row r="37" spans="1:34" ht="15.6">
      <c r="A37" s="1109" t="s">
        <v>101</v>
      </c>
      <c r="B37" s="171" t="s">
        <v>14</v>
      </c>
      <c r="C37" s="1512">
        <f>ROUND(SUM(C27)-SUM(C33),1)</f>
        <v>-637</v>
      </c>
      <c r="D37" s="1512"/>
      <c r="E37" s="1512">
        <f>ROUND(SUM(E27)-SUM(E33),1)</f>
        <v>-731</v>
      </c>
      <c r="F37" s="81"/>
      <c r="G37" s="73">
        <f>ROUND(SUM(G27)-SUM(G33),1)</f>
        <v>-470.3</v>
      </c>
      <c r="H37" s="81"/>
      <c r="I37" s="81">
        <v>0</v>
      </c>
      <c r="J37" s="81"/>
      <c r="K37" s="1512">
        <f>ROUND(SUM(K27)-SUM(K33),1)</f>
        <v>-470.3</v>
      </c>
      <c r="L37" s="81"/>
      <c r="M37" s="112">
        <f>ROUND(SUM(M27)-SUM(M33),1)</f>
        <v>166.7</v>
      </c>
      <c r="N37" s="613"/>
      <c r="O37" s="73">
        <f>ROUND(SUM(O27)-SUM(O33),1)</f>
        <v>260.7</v>
      </c>
    </row>
    <row r="38" spans="1:34" ht="15.6">
      <c r="B38" s="613"/>
      <c r="C38" s="660"/>
      <c r="D38" s="1512"/>
      <c r="E38" s="660"/>
      <c r="F38" s="920"/>
      <c r="G38" s="660"/>
      <c r="H38" s="920"/>
      <c r="I38" s="920"/>
      <c r="J38" s="920"/>
      <c r="K38" s="660"/>
      <c r="L38" s="920"/>
      <c r="M38" s="1469"/>
      <c r="O38" s="660"/>
    </row>
    <row r="39" spans="1:34" ht="15.6">
      <c r="A39" s="1109" t="str">
        <f>+'Exh D-Governmental  '!A49</f>
        <v>Fund Balances (Deficits) at April 1</v>
      </c>
      <c r="B39" s="922" t="s">
        <v>14</v>
      </c>
      <c r="C39" s="1857">
        <f>'Exh D Captl Projects State Fed'!C39+'Exh D Captl Projects State Fed'!M39</f>
        <v>-1144</v>
      </c>
      <c r="D39" s="1512"/>
      <c r="E39" s="1857">
        <v>-1144</v>
      </c>
      <c r="F39" s="920"/>
      <c r="G39" s="73">
        <f>'Exhibit I'!E15</f>
        <v>-1144</v>
      </c>
      <c r="H39" s="920"/>
      <c r="I39" s="3011">
        <v>0</v>
      </c>
      <c r="J39" s="920"/>
      <c r="K39" s="1859">
        <f>+G39+I39</f>
        <v>-1144</v>
      </c>
      <c r="L39" s="920"/>
      <c r="M39" s="3827">
        <f>ROUND(SUM(M29)-SUM(M35),1)</f>
        <v>0</v>
      </c>
      <c r="N39" s="613"/>
      <c r="O39" s="1622">
        <f>K39-E39</f>
        <v>0</v>
      </c>
      <c r="P39" s="613"/>
      <c r="Q39" s="613"/>
      <c r="R39" s="613"/>
      <c r="S39" s="613"/>
      <c r="T39" s="613"/>
      <c r="U39" s="613"/>
      <c r="V39" s="613"/>
      <c r="W39" s="613"/>
      <c r="X39" s="613"/>
      <c r="Y39" s="613"/>
      <c r="Z39" s="613"/>
      <c r="AA39" s="613"/>
      <c r="AB39" s="613"/>
      <c r="AC39" s="613"/>
      <c r="AD39" s="613"/>
      <c r="AE39" s="613"/>
      <c r="AF39" s="613"/>
      <c r="AG39" s="613"/>
      <c r="AH39" s="923"/>
    </row>
    <row r="40" spans="1:34" ht="16.2" thickBot="1">
      <c r="A40" s="1366" t="str">
        <f>+'Exh D-Governmental  '!A50</f>
        <v>Fund Balances (Deficits) at January 31, 2022</v>
      </c>
      <c r="B40" s="177" t="s">
        <v>14</v>
      </c>
      <c r="C40" s="95">
        <f>ROUND(SUM(C37:C39),1)</f>
        <v>-1781</v>
      </c>
      <c r="D40" s="216"/>
      <c r="E40" s="95">
        <f>ROUND(SUM(E37:E39),1)</f>
        <v>-1875</v>
      </c>
      <c r="F40" s="178"/>
      <c r="G40" s="1470">
        <f>ROUND(SUM(G37:G39),1)</f>
        <v>-1614.3</v>
      </c>
      <c r="H40" s="178"/>
      <c r="I40" s="95">
        <f>ROUND(SUM(I37:I39),1)</f>
        <v>0</v>
      </c>
      <c r="J40" s="178"/>
      <c r="K40" s="95">
        <f>ROUND(SUM(K37:K39),1)</f>
        <v>-1614.3</v>
      </c>
      <c r="L40" s="178"/>
      <c r="M40" s="1470">
        <f>ROUND(SUM(M37:M39),1)</f>
        <v>166.7</v>
      </c>
      <c r="N40" s="613"/>
      <c r="O40" s="95">
        <f>ROUND(SUM(O37:O39),1)</f>
        <v>260.7</v>
      </c>
      <c r="P40" s="613"/>
      <c r="Q40" s="613"/>
      <c r="R40" s="613"/>
      <c r="S40" s="613"/>
      <c r="T40" s="613"/>
      <c r="U40" s="613"/>
      <c r="V40" s="613"/>
      <c r="W40" s="613"/>
      <c r="X40" s="613"/>
      <c r="Y40" s="613"/>
      <c r="Z40" s="613"/>
      <c r="AA40" s="613"/>
      <c r="AB40" s="613"/>
      <c r="AC40" s="613"/>
      <c r="AD40" s="613"/>
      <c r="AE40" s="613"/>
      <c r="AF40" s="613"/>
      <c r="AG40" s="613"/>
      <c r="AH40" s="923"/>
    </row>
    <row r="41" spans="1:34" ht="15.6" thickTop="1">
      <c r="B41" s="613"/>
      <c r="C41" s="613"/>
      <c r="D41" s="613"/>
      <c r="E41" s="613"/>
      <c r="G41" s="946"/>
    </row>
    <row r="42" spans="1:34">
      <c r="A42" s="2115" t="str">
        <f>'Exh D-Governmental  '!A52</f>
        <v>(*)    Source: 2021-22 Enacted Financial Plan dated May 25, 2021.</v>
      </c>
      <c r="B42" s="613"/>
      <c r="D42" s="613"/>
    </row>
    <row r="43" spans="1:34" s="981" customFormat="1">
      <c r="A43" s="2115" t="str">
        <f>'Exh D-Governmental  '!A53</f>
        <v>(**)   Source: 2022-23 Executive Budget dated January 18, 2022.</v>
      </c>
      <c r="B43" s="1920"/>
      <c r="C43" s="423"/>
      <c r="D43" s="1920"/>
      <c r="E43" s="423"/>
      <c r="F43" s="939"/>
      <c r="G43" s="1623"/>
      <c r="H43" s="1621"/>
      <c r="I43" s="1621"/>
      <c r="J43" s="1621"/>
      <c r="K43" s="1621"/>
      <c r="L43" s="1621"/>
      <c r="M43" s="1623"/>
      <c r="N43" s="1621"/>
      <c r="O43" s="3530"/>
      <c r="P43" s="939"/>
      <c r="Q43" s="939"/>
      <c r="R43" s="939"/>
      <c r="S43" s="939"/>
    </row>
    <row r="44" spans="1:34">
      <c r="A44" s="1482"/>
      <c r="B44" s="613"/>
      <c r="D44" s="613"/>
    </row>
    <row r="45" spans="1:34">
      <c r="A45" s="1482"/>
      <c r="B45" s="613"/>
      <c r="D45" s="613"/>
    </row>
    <row r="46" spans="1:34">
      <c r="A46" s="1039"/>
      <c r="B46" s="613"/>
      <c r="D46" s="613"/>
    </row>
    <row r="47" spans="1:34">
      <c r="A47" s="180"/>
      <c r="B47" s="613"/>
      <c r="D47" s="613"/>
    </row>
    <row r="48" spans="1:34">
      <c r="B48" s="613"/>
      <c r="D48" s="613"/>
    </row>
    <row r="49" spans="2:2">
      <c r="B49" s="613"/>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60" workbookViewId="0"/>
  </sheetViews>
  <sheetFormatPr defaultColWidth="8.81640625" defaultRowHeight="15"/>
  <cols>
    <col min="1" max="1" width="51.81640625" style="919" customWidth="1"/>
    <col min="2" max="2" width="2.08984375" style="923" customWidth="1"/>
    <col min="3" max="3" width="15.81640625" style="422" customWidth="1"/>
    <col min="4" max="4" width="1.08984375" style="923" customWidth="1"/>
    <col min="5" max="5" width="15.81640625" style="422" customWidth="1"/>
    <col min="6" max="6" width="1.08984375" style="923" customWidth="1"/>
    <col min="7" max="7" width="15.81640625" style="923" customWidth="1"/>
    <col min="8" max="8" width="0.81640625" style="923" customWidth="1"/>
    <col min="9" max="9" width="19.453125" style="923" customWidth="1"/>
    <col min="10" max="10" width="1.08984375" style="613" customWidth="1"/>
    <col min="11" max="11" width="19.453125" style="923" customWidth="1"/>
    <col min="12" max="12" width="1.08984375" style="923" customWidth="1"/>
    <col min="13" max="13" width="15.81640625" style="613" customWidth="1"/>
    <col min="14" max="14" width="1.08984375" style="613" customWidth="1"/>
    <col min="15" max="15" width="15.81640625" style="613" customWidth="1"/>
    <col min="16" max="16" width="1.08984375" style="613" customWidth="1"/>
    <col min="17" max="17" width="15.81640625" style="613" customWidth="1"/>
    <col min="18" max="18" width="1.08984375" style="613" customWidth="1"/>
    <col min="19" max="19" width="15.81640625" style="613" customWidth="1"/>
    <col min="20" max="20" width="1.81640625" style="613" customWidth="1"/>
    <col min="21" max="21" width="15.81640625" style="422" customWidth="1"/>
    <col min="22" max="22" width="0.81640625" style="613" customWidth="1"/>
    <col min="23" max="23" width="15.81640625" style="422" customWidth="1"/>
    <col min="24" max="24" width="1.08984375" style="613" customWidth="1"/>
    <col min="25" max="25" width="15.81640625" style="613" customWidth="1"/>
    <col min="26" max="26" width="1" style="613" customWidth="1"/>
    <col min="27" max="27" width="15.81640625" style="613" customWidth="1"/>
    <col min="28" max="28" width="3.81640625" style="923" bestFit="1" customWidth="1"/>
    <col min="29" max="33" width="8.81640625" style="923"/>
    <col min="34" max="16384" width="8.81640625" style="919"/>
  </cols>
  <sheetData>
    <row r="1" spans="1:48">
      <c r="A1" s="925" t="s">
        <v>881</v>
      </c>
    </row>
    <row r="2" spans="1:48" ht="16.8">
      <c r="A2" s="182"/>
      <c r="B2" s="184"/>
      <c r="C2" s="416"/>
      <c r="D2" s="184"/>
      <c r="E2" s="416"/>
      <c r="F2" s="184"/>
      <c r="G2" s="184"/>
      <c r="H2" s="184"/>
      <c r="I2" s="184"/>
      <c r="J2" s="183"/>
      <c r="K2" s="184"/>
      <c r="L2" s="184"/>
      <c r="M2" s="183"/>
      <c r="N2" s="183"/>
      <c r="O2" s="183"/>
      <c r="P2" s="183"/>
      <c r="Q2" s="183"/>
      <c r="R2" s="183"/>
      <c r="S2" s="183"/>
      <c r="T2" s="183"/>
      <c r="U2" s="1170"/>
      <c r="V2" s="183"/>
      <c r="W2" s="1170"/>
      <c r="X2" s="183"/>
      <c r="Y2" s="183"/>
      <c r="Z2" s="183"/>
      <c r="AA2" s="183"/>
    </row>
    <row r="3" spans="1:48" s="3935" customFormat="1" ht="20.25" customHeight="1">
      <c r="A3" s="188" t="s">
        <v>0</v>
      </c>
      <c r="B3" s="145"/>
      <c r="C3" s="418"/>
      <c r="D3" s="140"/>
      <c r="E3" s="418"/>
      <c r="F3" s="140"/>
      <c r="G3" s="140"/>
      <c r="H3" s="140"/>
      <c r="I3" s="140"/>
      <c r="J3" s="153"/>
      <c r="K3" s="140"/>
      <c r="L3" s="140"/>
      <c r="M3" s="153"/>
      <c r="N3" s="153"/>
      <c r="O3" s="153"/>
      <c r="P3" s="153"/>
      <c r="Q3" s="153"/>
      <c r="R3" s="153"/>
      <c r="S3" s="810"/>
      <c r="T3" s="153"/>
      <c r="U3" s="810" t="s">
        <v>82</v>
      </c>
      <c r="V3" s="153"/>
      <c r="W3" s="1172"/>
      <c r="X3" s="153"/>
      <c r="Y3" s="153"/>
      <c r="Z3" s="153"/>
      <c r="AA3" s="1173"/>
      <c r="AB3" s="648"/>
      <c r="AC3" s="648"/>
      <c r="AD3" s="648"/>
      <c r="AE3" s="648"/>
      <c r="AF3" s="648"/>
      <c r="AG3" s="648"/>
    </row>
    <row r="4" spans="1:48" s="3935" customFormat="1" ht="20.25" customHeight="1">
      <c r="A4" s="188" t="s">
        <v>1098</v>
      </c>
      <c r="B4" s="145"/>
      <c r="C4" s="418"/>
      <c r="D4" s="140"/>
      <c r="E4" s="418"/>
      <c r="F4" s="140"/>
      <c r="G4" s="140"/>
      <c r="H4" s="140"/>
      <c r="I4" s="140"/>
      <c r="J4" s="153"/>
      <c r="K4" s="140"/>
      <c r="L4" s="140"/>
      <c r="M4" s="153"/>
      <c r="N4" s="153"/>
      <c r="O4" s="153"/>
      <c r="P4" s="153"/>
      <c r="Q4" s="153"/>
      <c r="R4" s="153"/>
      <c r="S4" s="811"/>
      <c r="T4" s="153"/>
      <c r="U4" s="811"/>
      <c r="V4" s="153"/>
      <c r="W4" s="1172"/>
      <c r="X4" s="153"/>
      <c r="Y4" s="153"/>
      <c r="Z4" s="153"/>
      <c r="AA4" s="1174"/>
      <c r="AB4" s="648"/>
      <c r="AC4" s="648"/>
      <c r="AD4" s="648"/>
      <c r="AE4" s="648"/>
      <c r="AF4" s="648"/>
      <c r="AG4" s="648"/>
    </row>
    <row r="5" spans="1:48" s="3935" customFormat="1" ht="20.25" customHeight="1">
      <c r="A5" s="3966" t="str">
        <f>'Exh D-Governmental  '!A5:E5</f>
        <v>FISCAL YEAR 2021-2022</v>
      </c>
      <c r="B5" s="3967"/>
      <c r="C5" s="3967"/>
      <c r="D5" s="3967"/>
      <c r="E5" s="3967"/>
      <c r="F5" s="140"/>
      <c r="G5" s="140"/>
      <c r="H5" s="140"/>
      <c r="I5" s="140"/>
      <c r="J5" s="153"/>
      <c r="K5" s="140"/>
      <c r="L5" s="140"/>
      <c r="M5" s="153"/>
      <c r="N5" s="153"/>
      <c r="O5" s="153"/>
      <c r="P5" s="153"/>
      <c r="Q5" s="153"/>
      <c r="R5" s="153"/>
      <c r="S5" s="153"/>
      <c r="T5" s="153"/>
      <c r="U5" s="1172"/>
      <c r="V5" s="153"/>
      <c r="W5" s="1172"/>
      <c r="X5" s="153"/>
      <c r="Y5" s="153"/>
      <c r="Z5" s="153"/>
      <c r="AA5" s="153"/>
      <c r="AB5" s="648"/>
      <c r="AC5" s="648"/>
      <c r="AD5" s="648"/>
      <c r="AE5" s="648"/>
      <c r="AF5" s="648"/>
      <c r="AG5" s="648"/>
    </row>
    <row r="6" spans="1:48" s="3935" customFormat="1" ht="20.25" customHeight="1">
      <c r="A6" s="1458" t="str">
        <f>'Exh D-Governmental  '!A6</f>
        <v xml:space="preserve">FOR TEN MONTHS ENDED JANUARY 31, 2022    </v>
      </c>
      <c r="B6" s="144"/>
      <c r="C6" s="418"/>
      <c r="D6" s="140"/>
      <c r="E6" s="418"/>
      <c r="F6" s="140"/>
      <c r="G6" s="140"/>
      <c r="H6" s="140"/>
      <c r="I6" s="140"/>
      <c r="J6" s="153"/>
      <c r="K6" s="140"/>
      <c r="L6" s="140"/>
      <c r="M6" s="153"/>
      <c r="N6" s="153"/>
      <c r="O6" s="153"/>
      <c r="P6" s="153"/>
      <c r="Q6" s="153"/>
      <c r="R6" s="153"/>
      <c r="S6" s="153"/>
      <c r="T6" s="153"/>
      <c r="U6" s="1172"/>
      <c r="V6" s="153"/>
      <c r="W6" s="1172"/>
      <c r="X6" s="153"/>
      <c r="Y6" s="153"/>
      <c r="Z6" s="153"/>
      <c r="AA6" s="153"/>
      <c r="AB6" s="140"/>
      <c r="AC6" s="153"/>
      <c r="AD6" s="153"/>
      <c r="AE6" s="153"/>
      <c r="AF6" s="153"/>
      <c r="AG6" s="153"/>
      <c r="AH6" s="153"/>
      <c r="AI6" s="153"/>
      <c r="AJ6" s="153"/>
      <c r="AK6" s="153"/>
      <c r="AL6" s="153"/>
      <c r="AM6" s="153"/>
      <c r="AN6" s="153"/>
      <c r="AO6" s="153"/>
      <c r="AP6" s="153"/>
      <c r="AQ6" s="912"/>
      <c r="AR6" s="912"/>
      <c r="AS6" s="912"/>
      <c r="AT6" s="912"/>
      <c r="AU6" s="912"/>
      <c r="AV6" s="648"/>
    </row>
    <row r="7" spans="1:48" s="3935" customFormat="1" ht="20.25" customHeight="1">
      <c r="A7" s="188" t="s">
        <v>1264</v>
      </c>
      <c r="B7" s="145"/>
      <c r="C7" s="418"/>
      <c r="D7" s="140"/>
      <c r="E7" s="418"/>
      <c r="F7" s="140"/>
      <c r="G7" s="140"/>
      <c r="H7" s="140"/>
      <c r="I7" s="140"/>
      <c r="J7" s="153"/>
      <c r="K7" s="140"/>
      <c r="L7" s="140"/>
      <c r="M7" s="153"/>
      <c r="N7" s="153"/>
      <c r="O7" s="153"/>
      <c r="P7" s="153"/>
      <c r="Q7" s="153"/>
      <c r="R7" s="153"/>
      <c r="S7" s="153"/>
      <c r="T7" s="153"/>
      <c r="U7" s="1172"/>
      <c r="V7" s="153"/>
      <c r="W7" s="1172"/>
      <c r="X7" s="153"/>
      <c r="Y7" s="153"/>
      <c r="Z7" s="153"/>
      <c r="AA7" s="153"/>
      <c r="AB7" s="648"/>
      <c r="AC7" s="648"/>
      <c r="AD7" s="648"/>
      <c r="AE7" s="648"/>
      <c r="AF7" s="648"/>
      <c r="AG7" s="648"/>
    </row>
    <row r="8" spans="1:48" ht="17.399999999999999">
      <c r="A8" s="190"/>
      <c r="B8" s="145"/>
      <c r="C8" s="418"/>
      <c r="D8" s="140"/>
      <c r="E8" s="418"/>
      <c r="F8" s="140"/>
      <c r="G8" s="140"/>
      <c r="H8" s="140"/>
      <c r="I8" s="140"/>
      <c r="J8" s="153"/>
      <c r="K8" s="140"/>
      <c r="L8" s="140"/>
      <c r="M8" s="153"/>
      <c r="N8" s="153"/>
      <c r="O8" s="153"/>
      <c r="P8" s="153"/>
      <c r="Q8" s="153"/>
      <c r="R8" s="153"/>
      <c r="S8" s="153"/>
      <c r="T8" s="153"/>
      <c r="U8" s="1172"/>
      <c r="V8" s="153"/>
      <c r="W8" s="1172"/>
      <c r="X8" s="153"/>
      <c r="Y8" s="153"/>
      <c r="Z8" s="153"/>
      <c r="AA8" s="153"/>
    </row>
    <row r="9" spans="1:48">
      <c r="A9" s="147"/>
      <c r="B9" s="140"/>
      <c r="C9" s="419"/>
      <c r="D9" s="140"/>
      <c r="E9" s="419"/>
      <c r="F9" s="140"/>
      <c r="G9" s="140"/>
      <c r="H9" s="140"/>
      <c r="I9" s="140"/>
      <c r="J9" s="153"/>
      <c r="K9" s="140"/>
      <c r="L9" s="140"/>
      <c r="M9" s="153"/>
      <c r="N9" s="153"/>
      <c r="O9" s="153"/>
      <c r="P9" s="153"/>
      <c r="Q9" s="153"/>
      <c r="R9" s="153"/>
      <c r="S9" s="153"/>
      <c r="T9" s="153"/>
      <c r="U9" s="1172"/>
      <c r="V9" s="153"/>
      <c r="W9" s="1172"/>
      <c r="X9" s="153"/>
      <c r="Y9" s="153"/>
      <c r="Z9" s="153"/>
      <c r="AA9" s="153"/>
    </row>
    <row r="10" spans="1:48">
      <c r="A10" s="147"/>
      <c r="B10" s="140"/>
      <c r="C10" s="418"/>
      <c r="D10" s="145"/>
      <c r="E10" s="418"/>
      <c r="F10" s="145"/>
      <c r="G10" s="145"/>
      <c r="H10" s="145"/>
      <c r="I10" s="145"/>
      <c r="J10" s="144"/>
      <c r="K10" s="145"/>
      <c r="L10" s="145"/>
      <c r="M10" s="418"/>
      <c r="N10" s="145"/>
      <c r="O10" s="418"/>
      <c r="P10" s="145"/>
      <c r="Q10" s="145"/>
      <c r="R10" s="145"/>
      <c r="S10" s="145"/>
      <c r="T10" s="144"/>
      <c r="U10" s="952"/>
      <c r="V10" s="144"/>
      <c r="W10" s="952"/>
      <c r="X10" s="144"/>
      <c r="Y10" s="144"/>
      <c r="Z10" s="144"/>
      <c r="AA10" s="144"/>
      <c r="AB10" s="939"/>
    </row>
    <row r="11" spans="1:48" ht="15.6">
      <c r="A11" s="679"/>
      <c r="B11" s="148"/>
      <c r="C11" s="3968" t="s">
        <v>1042</v>
      </c>
      <c r="D11" s="3968"/>
      <c r="E11" s="3968"/>
      <c r="F11" s="3968"/>
      <c r="G11" s="3968"/>
      <c r="H11" s="3968"/>
      <c r="I11" s="3968"/>
      <c r="J11" s="1166"/>
      <c r="K11" s="1166"/>
      <c r="L11" s="202"/>
      <c r="M11" s="3968" t="s">
        <v>1043</v>
      </c>
      <c r="N11" s="3968"/>
      <c r="O11" s="3968"/>
      <c r="P11" s="3968"/>
      <c r="Q11" s="3968"/>
      <c r="R11" s="3968"/>
      <c r="S11" s="3968"/>
      <c r="T11" s="1179"/>
      <c r="U11" s="1403"/>
      <c r="V11" s="1403"/>
      <c r="W11" s="193"/>
      <c r="X11" s="193"/>
      <c r="Y11" s="193"/>
      <c r="Z11" s="193"/>
      <c r="AA11" s="193"/>
      <c r="AB11" s="939"/>
    </row>
    <row r="12" spans="1:48" ht="15.6">
      <c r="A12" s="679"/>
      <c r="B12" s="148"/>
      <c r="C12" s="424"/>
      <c r="D12" s="149"/>
      <c r="E12" s="424"/>
      <c r="F12" s="149"/>
      <c r="G12" s="149"/>
      <c r="H12" s="149"/>
      <c r="I12" s="203" t="s">
        <v>83</v>
      </c>
      <c r="J12" s="203"/>
      <c r="K12" s="203" t="s">
        <v>83</v>
      </c>
      <c r="L12" s="926"/>
      <c r="M12" s="424"/>
      <c r="N12" s="149"/>
      <c r="O12" s="424"/>
      <c r="P12" s="149"/>
      <c r="Q12" s="149"/>
      <c r="R12" s="149"/>
      <c r="S12" s="203" t="s">
        <v>83</v>
      </c>
      <c r="T12" s="148"/>
      <c r="U12" s="203" t="s">
        <v>83</v>
      </c>
      <c r="V12" s="148"/>
      <c r="W12" s="968"/>
      <c r="X12" s="148"/>
      <c r="Y12" s="148"/>
      <c r="Z12" s="148"/>
      <c r="AA12" s="203"/>
    </row>
    <row r="13" spans="1:48" ht="15.6">
      <c r="A13" s="679"/>
      <c r="B13" s="148"/>
      <c r="C13" s="424"/>
      <c r="D13" s="149"/>
      <c r="E13" s="424"/>
      <c r="F13" s="149"/>
      <c r="G13" s="149"/>
      <c r="H13" s="149"/>
      <c r="I13" s="150" t="s">
        <v>795</v>
      </c>
      <c r="J13" s="198"/>
      <c r="K13" s="150" t="s">
        <v>795</v>
      </c>
      <c r="L13" s="926"/>
      <c r="M13" s="424"/>
      <c r="N13" s="149"/>
      <c r="O13" s="424"/>
      <c r="P13" s="149"/>
      <c r="Q13" s="149"/>
      <c r="R13" s="149"/>
      <c r="S13" s="150" t="s">
        <v>795</v>
      </c>
      <c r="T13" s="148"/>
      <c r="U13" s="150" t="s">
        <v>795</v>
      </c>
      <c r="V13" s="148"/>
      <c r="W13" s="968"/>
      <c r="X13" s="148"/>
      <c r="Y13" s="148"/>
      <c r="Z13" s="148"/>
      <c r="AA13" s="198"/>
    </row>
    <row r="14" spans="1:48" ht="15.75" customHeight="1">
      <c r="A14" s="679"/>
      <c r="B14" s="148"/>
      <c r="C14" s="151" t="s">
        <v>988</v>
      </c>
      <c r="D14" s="919"/>
      <c r="E14" s="151" t="s">
        <v>989</v>
      </c>
      <c r="F14" s="149"/>
      <c r="G14" s="149"/>
      <c r="H14" s="149"/>
      <c r="I14" s="150" t="s">
        <v>84</v>
      </c>
      <c r="J14" s="198"/>
      <c r="K14" s="150" t="s">
        <v>84</v>
      </c>
      <c r="L14" s="926"/>
      <c r="M14" s="151" t="s">
        <v>988</v>
      </c>
      <c r="N14" s="919"/>
      <c r="O14" s="151" t="s">
        <v>989</v>
      </c>
      <c r="P14" s="149"/>
      <c r="Q14" s="149"/>
      <c r="R14" s="149"/>
      <c r="S14" s="150" t="s">
        <v>84</v>
      </c>
      <c r="T14" s="199"/>
      <c r="U14" s="150" t="s">
        <v>84</v>
      </c>
      <c r="V14" s="680"/>
      <c r="W14" s="197"/>
      <c r="X14" s="148"/>
      <c r="Y14" s="148"/>
      <c r="Z14" s="148"/>
      <c r="AA14" s="198"/>
    </row>
    <row r="15" spans="1:48" ht="15.75" customHeight="1">
      <c r="A15" s="679"/>
      <c r="B15" s="148"/>
      <c r="C15" s="150" t="s">
        <v>1024</v>
      </c>
      <c r="D15" s="149"/>
      <c r="E15" s="150" t="s">
        <v>1024</v>
      </c>
      <c r="F15" s="149"/>
      <c r="G15" s="149"/>
      <c r="H15" s="149"/>
      <c r="I15" s="150" t="s">
        <v>988</v>
      </c>
      <c r="J15" s="197"/>
      <c r="K15" s="151" t="s">
        <v>989</v>
      </c>
      <c r="L15" s="969"/>
      <c r="M15" s="150" t="s">
        <v>1024</v>
      </c>
      <c r="N15" s="149"/>
      <c r="O15" s="150" t="s">
        <v>1024</v>
      </c>
      <c r="P15" s="149"/>
      <c r="Q15" s="149"/>
      <c r="R15" s="149"/>
      <c r="S15" s="150" t="s">
        <v>988</v>
      </c>
      <c r="T15" s="199"/>
      <c r="U15" s="151" t="s">
        <v>989</v>
      </c>
      <c r="V15" s="148"/>
      <c r="W15" s="198"/>
      <c r="X15" s="148"/>
      <c r="Y15" s="148"/>
      <c r="Z15" s="148"/>
      <c r="AA15" s="197"/>
    </row>
    <row r="16" spans="1:48" ht="15.6">
      <c r="A16" s="679"/>
      <c r="B16" s="148"/>
      <c r="C16" s="150" t="s">
        <v>1025</v>
      </c>
      <c r="D16" s="149"/>
      <c r="E16" s="150" t="s">
        <v>1511</v>
      </c>
      <c r="F16" s="149"/>
      <c r="G16" s="151" t="s">
        <v>83</v>
      </c>
      <c r="H16" s="149"/>
      <c r="I16" s="150" t="s">
        <v>85</v>
      </c>
      <c r="J16" s="198"/>
      <c r="K16" s="150" t="s">
        <v>85</v>
      </c>
      <c r="L16" s="926"/>
      <c r="M16" s="150" t="s">
        <v>1025</v>
      </c>
      <c r="N16" s="149"/>
      <c r="O16" s="150" t="s">
        <v>1511</v>
      </c>
      <c r="P16" s="149"/>
      <c r="Q16" s="151" t="s">
        <v>83</v>
      </c>
      <c r="R16" s="149"/>
      <c r="S16" s="150" t="s">
        <v>85</v>
      </c>
      <c r="T16" s="198"/>
      <c r="U16" s="150" t="s">
        <v>85</v>
      </c>
      <c r="V16" s="148"/>
      <c r="W16" s="198"/>
      <c r="X16" s="148"/>
      <c r="Y16" s="197"/>
      <c r="Z16" s="148"/>
      <c r="AA16" s="198"/>
    </row>
    <row r="17" spans="1:48">
      <c r="A17" s="152"/>
      <c r="B17" s="153"/>
      <c r="C17" s="154"/>
      <c r="D17" s="140"/>
      <c r="E17" s="154"/>
      <c r="F17" s="140"/>
      <c r="G17" s="154"/>
      <c r="H17" s="140"/>
      <c r="I17" s="154"/>
      <c r="J17" s="153"/>
      <c r="K17" s="154"/>
      <c r="L17" s="927"/>
      <c r="M17" s="154"/>
      <c r="N17" s="140"/>
      <c r="O17" s="154"/>
      <c r="P17" s="140"/>
      <c r="Q17" s="154"/>
      <c r="R17" s="140"/>
      <c r="S17" s="154"/>
      <c r="T17" s="153"/>
      <c r="U17" s="154"/>
      <c r="V17" s="153"/>
      <c r="W17" s="153"/>
      <c r="X17" s="153"/>
      <c r="Y17" s="153"/>
      <c r="Z17" s="153"/>
      <c r="AA17" s="153"/>
    </row>
    <row r="18" spans="1:48" ht="15.6">
      <c r="A18" s="26" t="s">
        <v>13</v>
      </c>
      <c r="B18" s="912"/>
      <c r="C18" s="648"/>
      <c r="D18" s="648"/>
      <c r="E18" s="648"/>
      <c r="F18" s="648"/>
      <c r="G18" s="804" t="s">
        <v>14</v>
      </c>
      <c r="H18" s="648"/>
      <c r="I18" s="648"/>
      <c r="J18" s="912"/>
      <c r="K18" s="648"/>
      <c r="L18" s="928"/>
      <c r="M18" s="648"/>
      <c r="N18" s="648"/>
      <c r="O18" s="648"/>
      <c r="P18" s="648"/>
      <c r="Q18" s="648" t="s">
        <v>14</v>
      </c>
      <c r="R18" s="648"/>
      <c r="S18" s="648"/>
      <c r="T18" s="912"/>
      <c r="U18" s="648"/>
      <c r="V18" s="912"/>
      <c r="W18" s="912"/>
      <c r="X18" s="912"/>
      <c r="Y18" s="912"/>
      <c r="Z18" s="912"/>
      <c r="AA18" s="912"/>
    </row>
    <row r="19" spans="1:48">
      <c r="A19" s="809" t="s">
        <v>86</v>
      </c>
      <c r="B19" s="913" t="s">
        <v>14</v>
      </c>
      <c r="C19" s="649"/>
      <c r="D19" s="651"/>
      <c r="E19" s="649"/>
      <c r="F19" s="651"/>
      <c r="G19" s="649"/>
      <c r="H19" s="651"/>
      <c r="I19" s="649"/>
      <c r="J19" s="959"/>
      <c r="K19" s="649"/>
      <c r="L19" s="940"/>
      <c r="M19" s="649"/>
      <c r="N19" s="649"/>
      <c r="O19" s="649"/>
      <c r="P19" s="649"/>
      <c r="Q19" s="941"/>
      <c r="R19" s="651"/>
      <c r="S19" s="649"/>
      <c r="T19" s="651"/>
      <c r="U19" s="649"/>
      <c r="V19" s="959"/>
      <c r="W19" s="959"/>
      <c r="X19" s="959"/>
      <c r="Y19" s="1180"/>
      <c r="Z19" s="957"/>
      <c r="AA19" s="959"/>
      <c r="AB19" s="912"/>
      <c r="AC19" s="912"/>
      <c r="AD19" s="912"/>
      <c r="AE19" s="912"/>
      <c r="AF19" s="912"/>
      <c r="AG19" s="912"/>
      <c r="AH19" s="912"/>
      <c r="AI19" s="912"/>
      <c r="AJ19" s="912"/>
      <c r="AK19" s="912"/>
      <c r="AL19" s="912"/>
      <c r="AM19" s="912"/>
      <c r="AN19" s="912"/>
      <c r="AO19" s="912"/>
      <c r="AP19" s="912"/>
      <c r="AQ19" s="613"/>
      <c r="AR19" s="613"/>
      <c r="AS19" s="613"/>
      <c r="AT19" s="613"/>
      <c r="AU19" s="613"/>
      <c r="AV19" s="923"/>
    </row>
    <row r="20" spans="1:48">
      <c r="A20" s="809" t="s">
        <v>88</v>
      </c>
      <c r="B20" s="912" t="s">
        <v>14</v>
      </c>
      <c r="C20" s="2034">
        <v>510</v>
      </c>
      <c r="D20" s="649"/>
      <c r="E20" s="2034">
        <v>520</v>
      </c>
      <c r="F20" s="649"/>
      <c r="G20" s="929">
        <f>+'Exhibit I State'!AD22</f>
        <v>513.70000000000005</v>
      </c>
      <c r="H20" s="649"/>
      <c r="I20" s="649">
        <f>G20-C20</f>
        <v>3.7000000000000455</v>
      </c>
      <c r="J20" s="959"/>
      <c r="K20" s="649">
        <f t="shared" ref="K20:K26" si="0">+G20-E20</f>
        <v>-6.2999999999999545</v>
      </c>
      <c r="L20" s="940"/>
      <c r="M20" s="2034">
        <v>0</v>
      </c>
      <c r="N20" s="2034"/>
      <c r="O20" s="2034">
        <v>0</v>
      </c>
      <c r="P20" s="652"/>
      <c r="Q20" s="929">
        <v>0</v>
      </c>
      <c r="R20" s="652"/>
      <c r="S20" s="649">
        <f>Q20-M20</f>
        <v>0</v>
      </c>
      <c r="T20" s="959"/>
      <c r="U20" s="649">
        <f t="shared" ref="U20:U26" si="1">Q20-O20</f>
        <v>0</v>
      </c>
      <c r="V20" s="1181"/>
      <c r="W20" s="958"/>
      <c r="X20" s="1181"/>
      <c r="Y20" s="958"/>
      <c r="Z20" s="1181"/>
      <c r="AA20" s="959"/>
      <c r="AB20" s="912"/>
      <c r="AC20" s="912"/>
      <c r="AD20" s="912"/>
      <c r="AE20" s="912"/>
      <c r="AF20" s="912"/>
      <c r="AG20" s="912"/>
      <c r="AH20" s="912"/>
      <c r="AI20" s="912"/>
      <c r="AJ20" s="912"/>
      <c r="AK20" s="912"/>
      <c r="AL20" s="912"/>
      <c r="AM20" s="912"/>
      <c r="AN20" s="912"/>
      <c r="AO20" s="912"/>
      <c r="AP20" s="912"/>
      <c r="AQ20" s="613"/>
      <c r="AR20" s="613"/>
      <c r="AS20" s="613"/>
      <c r="AT20" s="613"/>
      <c r="AU20" s="613"/>
      <c r="AV20" s="923"/>
    </row>
    <row r="21" spans="1:48">
      <c r="A21" s="809" t="s">
        <v>89</v>
      </c>
      <c r="B21" s="913" t="s">
        <v>14</v>
      </c>
      <c r="C21" s="1110">
        <v>506</v>
      </c>
      <c r="D21" s="671"/>
      <c r="E21" s="1110">
        <v>498</v>
      </c>
      <c r="F21" s="671"/>
      <c r="G21" s="675">
        <f>+'Exhibit I State'!AD27</f>
        <v>494.7</v>
      </c>
      <c r="H21" s="671"/>
      <c r="I21" s="634">
        <f t="shared" ref="I21:I26" si="2">ROUND(SUM(G21)-SUM(C21),1)</f>
        <v>-11.3</v>
      </c>
      <c r="J21" s="931"/>
      <c r="K21" s="1511">
        <f t="shared" si="0"/>
        <v>-3.3000000000000114</v>
      </c>
      <c r="L21" s="942"/>
      <c r="M21" s="1110">
        <v>0</v>
      </c>
      <c r="N21" s="1110"/>
      <c r="O21" s="1110">
        <v>0</v>
      </c>
      <c r="P21" s="650"/>
      <c r="Q21" s="675">
        <v>0</v>
      </c>
      <c r="R21" s="650"/>
      <c r="S21" s="634">
        <f t="shared" ref="S21:S26" si="3">ROUND(SUM(Q21)-SUM(M21),1)</f>
        <v>0</v>
      </c>
      <c r="T21" s="671"/>
      <c r="U21" s="1511">
        <f t="shared" si="1"/>
        <v>0</v>
      </c>
      <c r="V21" s="934"/>
      <c r="W21" s="962"/>
      <c r="X21" s="934"/>
      <c r="Y21" s="962"/>
      <c r="Z21" s="934"/>
      <c r="AA21" s="931"/>
      <c r="AB21" s="933"/>
      <c r="AC21" s="912"/>
      <c r="AD21" s="912"/>
      <c r="AE21" s="933"/>
      <c r="AF21" s="912"/>
      <c r="AG21" s="933"/>
      <c r="AH21" s="912"/>
      <c r="AI21" s="912"/>
      <c r="AJ21" s="933"/>
      <c r="AK21" s="912"/>
      <c r="AL21" s="912"/>
      <c r="AM21" s="933"/>
      <c r="AN21" s="200"/>
      <c r="AO21" s="933"/>
      <c r="AP21" s="912"/>
      <c r="AQ21" s="613"/>
      <c r="AR21" s="613"/>
      <c r="AS21" s="613"/>
      <c r="AT21" s="613"/>
      <c r="AU21" s="613"/>
      <c r="AV21" s="923"/>
    </row>
    <row r="22" spans="1:48">
      <c r="A22" s="809" t="s">
        <v>90</v>
      </c>
      <c r="B22" s="912" t="s">
        <v>14</v>
      </c>
      <c r="C22" s="1110">
        <v>96</v>
      </c>
      <c r="D22" s="1511"/>
      <c r="E22" s="1110">
        <v>95</v>
      </c>
      <c r="F22" s="634"/>
      <c r="G22" s="675">
        <f>+'Exhibit I State'!AD30</f>
        <v>95.3</v>
      </c>
      <c r="H22" s="634"/>
      <c r="I22" s="634">
        <f t="shared" si="2"/>
        <v>-0.7</v>
      </c>
      <c r="J22" s="931"/>
      <c r="K22" s="1511">
        <f t="shared" si="0"/>
        <v>0.29999999999999716</v>
      </c>
      <c r="L22" s="942"/>
      <c r="M22" s="1110">
        <v>0</v>
      </c>
      <c r="N22" s="1110"/>
      <c r="O22" s="1110">
        <v>0</v>
      </c>
      <c r="P22" s="650"/>
      <c r="Q22" s="675">
        <v>0</v>
      </c>
      <c r="R22" s="650"/>
      <c r="S22" s="634">
        <f t="shared" si="3"/>
        <v>0</v>
      </c>
      <c r="T22" s="931"/>
      <c r="U22" s="1511">
        <f t="shared" si="1"/>
        <v>0</v>
      </c>
      <c r="V22" s="934"/>
      <c r="W22" s="962"/>
      <c r="X22" s="934"/>
      <c r="Y22" s="962"/>
      <c r="Z22" s="934"/>
      <c r="AA22" s="931"/>
      <c r="AB22" s="912"/>
      <c r="AC22" s="912"/>
      <c r="AD22" s="912"/>
      <c r="AE22" s="912"/>
      <c r="AF22" s="912"/>
      <c r="AG22" s="912"/>
      <c r="AH22" s="912"/>
      <c r="AI22" s="912"/>
      <c r="AJ22" s="912"/>
      <c r="AK22" s="912"/>
      <c r="AL22" s="912"/>
      <c r="AM22" s="912"/>
      <c r="AN22" s="912"/>
      <c r="AO22" s="912"/>
      <c r="AP22" s="912"/>
      <c r="AQ22" s="613"/>
      <c r="AR22" s="613"/>
      <c r="AS22" s="613"/>
      <c r="AT22" s="613"/>
      <c r="AU22" s="613"/>
      <c r="AV22" s="923"/>
    </row>
    <row r="23" spans="1:48">
      <c r="A23" s="809" t="s">
        <v>19</v>
      </c>
      <c r="B23" s="912" t="s">
        <v>14</v>
      </c>
      <c r="C23" s="1110">
        <v>5695</v>
      </c>
      <c r="D23" s="1511"/>
      <c r="E23" s="1110">
        <v>3831</v>
      </c>
      <c r="F23" s="634"/>
      <c r="G23" s="675">
        <f>+'Exhibit I State'!AD60</f>
        <v>3295.1</v>
      </c>
      <c r="H23" s="634"/>
      <c r="I23" s="634">
        <f t="shared" si="2"/>
        <v>-2399.9</v>
      </c>
      <c r="J23" s="931"/>
      <c r="K23" s="1511">
        <f t="shared" si="0"/>
        <v>-535.90000000000009</v>
      </c>
      <c r="L23" s="942"/>
      <c r="M23" s="1110">
        <v>0</v>
      </c>
      <c r="N23" s="1511"/>
      <c r="O23" s="1110">
        <v>0</v>
      </c>
      <c r="P23" s="634"/>
      <c r="Q23" s="634">
        <f>+'Exhibit I Federal'!AD42</f>
        <v>-0.3</v>
      </c>
      <c r="R23" s="634"/>
      <c r="S23" s="634">
        <f t="shared" si="3"/>
        <v>-0.3</v>
      </c>
      <c r="T23" s="931"/>
      <c r="U23" s="1511">
        <f t="shared" si="1"/>
        <v>-0.3</v>
      </c>
      <c r="V23" s="931"/>
      <c r="W23" s="962"/>
      <c r="X23" s="931"/>
      <c r="Y23" s="962"/>
      <c r="Z23" s="931"/>
      <c r="AA23" s="931"/>
    </row>
    <row r="24" spans="1:48">
      <c r="A24" s="809" t="s">
        <v>20</v>
      </c>
      <c r="B24" s="912" t="s">
        <v>14</v>
      </c>
      <c r="C24" s="1110">
        <v>2</v>
      </c>
      <c r="D24" s="1511"/>
      <c r="E24" s="1110">
        <v>11</v>
      </c>
      <c r="F24" s="634"/>
      <c r="G24" s="675">
        <f>+'Exhibit I State'!AD62</f>
        <v>12</v>
      </c>
      <c r="H24" s="634"/>
      <c r="I24" s="634">
        <f t="shared" si="2"/>
        <v>10</v>
      </c>
      <c r="J24" s="931"/>
      <c r="K24" s="1511">
        <f t="shared" si="0"/>
        <v>1</v>
      </c>
      <c r="L24" s="942"/>
      <c r="M24" s="1110">
        <v>2030</v>
      </c>
      <c r="N24" s="1511"/>
      <c r="O24" s="1110">
        <v>1607</v>
      </c>
      <c r="P24" s="634"/>
      <c r="Q24" s="634">
        <f>+'Exhibit I Federal'!AD44</f>
        <v>1552.3</v>
      </c>
      <c r="R24" s="634"/>
      <c r="S24" s="634">
        <f t="shared" si="3"/>
        <v>-477.7</v>
      </c>
      <c r="T24" s="931"/>
      <c r="U24" s="1511">
        <f t="shared" si="1"/>
        <v>-54.700000000000045</v>
      </c>
      <c r="V24" s="931"/>
      <c r="W24" s="962"/>
      <c r="X24" s="931"/>
      <c r="Y24" s="962"/>
      <c r="Z24" s="931"/>
      <c r="AA24" s="931"/>
    </row>
    <row r="25" spans="1:48">
      <c r="A25" s="809" t="s">
        <v>96</v>
      </c>
      <c r="B25" s="912" t="s">
        <v>14</v>
      </c>
      <c r="C25" s="1110">
        <v>0</v>
      </c>
      <c r="D25" s="1511"/>
      <c r="E25" s="1110">
        <v>0</v>
      </c>
      <c r="F25" s="634"/>
      <c r="G25" s="675">
        <f>+'Exhibit I State'!AA91</f>
        <v>0</v>
      </c>
      <c r="H25" s="634"/>
      <c r="I25" s="634">
        <f t="shared" si="2"/>
        <v>0</v>
      </c>
      <c r="J25" s="931"/>
      <c r="K25" s="1511">
        <f t="shared" si="0"/>
        <v>0</v>
      </c>
      <c r="L25" s="943"/>
      <c r="M25" s="1110">
        <v>0</v>
      </c>
      <c r="N25" s="883"/>
      <c r="O25" s="1110">
        <v>0</v>
      </c>
      <c r="P25" s="634"/>
      <c r="Q25" s="650">
        <v>0</v>
      </c>
      <c r="R25" s="634"/>
      <c r="S25" s="634">
        <f t="shared" si="3"/>
        <v>0</v>
      </c>
      <c r="T25" s="932"/>
      <c r="U25" s="1511">
        <f t="shared" si="1"/>
        <v>0</v>
      </c>
      <c r="V25" s="931"/>
      <c r="W25" s="962"/>
      <c r="X25" s="931"/>
      <c r="Y25" s="962"/>
      <c r="Z25" s="931"/>
      <c r="AA25" s="931"/>
    </row>
    <row r="26" spans="1:48">
      <c r="A26" s="809" t="s">
        <v>46</v>
      </c>
      <c r="B26" s="912" t="s">
        <v>14</v>
      </c>
      <c r="C26" s="1110">
        <v>3397</v>
      </c>
      <c r="D26" s="1511"/>
      <c r="E26" s="1110">
        <v>4487</v>
      </c>
      <c r="F26" s="634"/>
      <c r="G26" s="673">
        <f>+'Exhibit I State'!AD92</f>
        <v>4779.2</v>
      </c>
      <c r="H26" s="634"/>
      <c r="I26" s="634">
        <f t="shared" si="2"/>
        <v>1382.2</v>
      </c>
      <c r="J26" s="931"/>
      <c r="K26" s="1511">
        <f t="shared" si="0"/>
        <v>292.19999999999982</v>
      </c>
      <c r="L26" s="942"/>
      <c r="M26" s="1110">
        <v>14</v>
      </c>
      <c r="N26" s="883"/>
      <c r="O26" s="1110">
        <v>0</v>
      </c>
      <c r="P26" s="634"/>
      <c r="Q26" s="671">
        <f>+'Exhibit I Federal'!AD73</f>
        <v>2.1</v>
      </c>
      <c r="R26" s="634"/>
      <c r="S26" s="634">
        <f t="shared" si="3"/>
        <v>-11.9</v>
      </c>
      <c r="T26" s="932"/>
      <c r="U26" s="1511">
        <f t="shared" si="1"/>
        <v>2.1</v>
      </c>
      <c r="V26" s="931"/>
      <c r="W26" s="962"/>
      <c r="X26" s="931"/>
      <c r="Y26" s="962"/>
      <c r="Z26" s="931"/>
      <c r="AA26" s="931"/>
    </row>
    <row r="27" spans="1:48" ht="18" customHeight="1">
      <c r="A27" s="170" t="s">
        <v>107</v>
      </c>
      <c r="B27" s="148" t="s">
        <v>14</v>
      </c>
      <c r="C27" s="1854">
        <f>ROUND(SUM(C20:C26),1)</f>
        <v>10206</v>
      </c>
      <c r="D27" s="910"/>
      <c r="E27" s="1854">
        <f>ROUND(SUM(E20:E26),1)</f>
        <v>9442</v>
      </c>
      <c r="F27" s="910"/>
      <c r="G27" s="212">
        <f>ROUND(SUM(G20:G26),1)</f>
        <v>9190</v>
      </c>
      <c r="H27" s="910"/>
      <c r="I27" s="212">
        <f>ROUND(SUM(I20:I26),1)</f>
        <v>-1016</v>
      </c>
      <c r="J27" s="73"/>
      <c r="K27" s="212">
        <f>ROUND(SUM(K20:K26),1)</f>
        <v>-252</v>
      </c>
      <c r="L27" s="944"/>
      <c r="M27" s="1854">
        <f>ROUND(SUM(M20:M26),1)</f>
        <v>2044</v>
      </c>
      <c r="N27" s="910"/>
      <c r="O27" s="1854">
        <f>ROUND(SUM(O20:O26),1)</f>
        <v>1607</v>
      </c>
      <c r="P27" s="910"/>
      <c r="Q27" s="212">
        <f>ROUND(SUM(Q20:Q26),1)</f>
        <v>1554.1</v>
      </c>
      <c r="R27" s="910"/>
      <c r="S27" s="212">
        <f>ROUND(SUM(S20:S26),1)</f>
        <v>-489.9</v>
      </c>
      <c r="T27" s="73"/>
      <c r="U27" s="212">
        <f>ROUND(SUM(U20:U26),1)</f>
        <v>-52.9</v>
      </c>
      <c r="V27" s="73"/>
      <c r="W27" s="73"/>
      <c r="X27" s="73"/>
      <c r="Y27" s="73"/>
      <c r="Z27" s="73"/>
      <c r="AA27" s="73"/>
    </row>
    <row r="28" spans="1:48">
      <c r="A28" s="679"/>
      <c r="B28" s="912" t="s">
        <v>14</v>
      </c>
      <c r="C28" s="1855"/>
      <c r="D28" s="1511"/>
      <c r="E28" s="1855"/>
      <c r="F28" s="634"/>
      <c r="G28" s="677"/>
      <c r="H28" s="634"/>
      <c r="I28" s="677"/>
      <c r="J28" s="931"/>
      <c r="K28" s="677"/>
      <c r="L28" s="942"/>
      <c r="M28" s="1855"/>
      <c r="N28" s="1511"/>
      <c r="O28" s="1855"/>
      <c r="P28" s="634"/>
      <c r="Q28" s="677"/>
      <c r="R28" s="634"/>
      <c r="S28" s="677" t="s">
        <v>14</v>
      </c>
      <c r="T28" s="931"/>
      <c r="U28" s="677"/>
      <c r="V28" s="931"/>
      <c r="W28" s="931"/>
      <c r="X28" s="931"/>
      <c r="Y28" s="931"/>
      <c r="Z28" s="931"/>
      <c r="AA28" s="931"/>
    </row>
    <row r="29" spans="1:48" ht="15.6">
      <c r="A29" s="26" t="s">
        <v>22</v>
      </c>
      <c r="B29" s="912" t="s">
        <v>14</v>
      </c>
      <c r="C29" s="883"/>
      <c r="D29" s="1511"/>
      <c r="E29" s="883"/>
      <c r="F29" s="634"/>
      <c r="G29" s="634" t="s">
        <v>14</v>
      </c>
      <c r="H29" s="634"/>
      <c r="I29" s="634"/>
      <c r="J29" s="931"/>
      <c r="K29" s="1511"/>
      <c r="L29" s="942"/>
      <c r="M29" s="883"/>
      <c r="N29" s="1511"/>
      <c r="O29" s="883"/>
      <c r="P29" s="634"/>
      <c r="Q29" s="634"/>
      <c r="R29" s="634"/>
      <c r="S29" s="634"/>
      <c r="T29" s="931"/>
      <c r="U29" s="1511"/>
      <c r="V29" s="931"/>
      <c r="W29" s="931"/>
      <c r="X29" s="931"/>
      <c r="Y29" s="931"/>
      <c r="Z29" s="931"/>
      <c r="AA29" s="931"/>
    </row>
    <row r="30" spans="1:48">
      <c r="A30" s="809" t="s">
        <v>92</v>
      </c>
      <c r="B30" s="912" t="s">
        <v>14</v>
      </c>
      <c r="C30" s="1110">
        <v>4898</v>
      </c>
      <c r="D30" s="1511"/>
      <c r="E30" s="1110">
        <v>4601</v>
      </c>
      <c r="F30" s="634"/>
      <c r="G30" s="650">
        <f>+'Exhibit I State'!AD78</f>
        <v>4274.6000000000004</v>
      </c>
      <c r="H30" s="634"/>
      <c r="I30" s="634">
        <f>ROUND(SUM(G30)-SUM(C30),1)</f>
        <v>-623.4</v>
      </c>
      <c r="J30" s="931"/>
      <c r="K30" s="1511">
        <f>+G30-E30</f>
        <v>-326.39999999999964</v>
      </c>
      <c r="L30" s="942"/>
      <c r="M30" s="1110">
        <v>541</v>
      </c>
      <c r="N30" s="1511"/>
      <c r="O30" s="1110">
        <v>584</v>
      </c>
      <c r="P30" s="634"/>
      <c r="Q30" s="634">
        <f>+'Exhibit I Federal'!AD60</f>
        <v>534.6</v>
      </c>
      <c r="R30" s="634"/>
      <c r="S30" s="634">
        <f>ROUND(SUM(Q30)-SUM(M30),1)</f>
        <v>-6.4</v>
      </c>
      <c r="T30" s="931"/>
      <c r="U30" s="1511">
        <f>Q30-O30</f>
        <v>-49.399999999999977</v>
      </c>
      <c r="V30" s="931"/>
      <c r="W30" s="962"/>
      <c r="X30" s="931"/>
      <c r="Y30" s="962"/>
      <c r="Z30" s="931"/>
      <c r="AA30" s="931"/>
    </row>
    <row r="31" spans="1:48">
      <c r="A31" s="809" t="s">
        <v>41</v>
      </c>
      <c r="B31" s="912" t="s">
        <v>14</v>
      </c>
      <c r="C31" s="1110">
        <v>5805</v>
      </c>
      <c r="D31" s="1511"/>
      <c r="E31" s="1110">
        <v>4963</v>
      </c>
      <c r="F31" s="634"/>
      <c r="G31" s="650">
        <f>+'Exhibit I State'!AD83</f>
        <v>4738.5</v>
      </c>
      <c r="H31" s="634"/>
      <c r="I31" s="634">
        <f>ROUND(SUM(G31)-SUM(C31),1)</f>
        <v>-1066.5</v>
      </c>
      <c r="J31" s="931"/>
      <c r="K31" s="1511">
        <f>+G31-E31</f>
        <v>-224.5</v>
      </c>
      <c r="L31" s="943"/>
      <c r="M31" s="1110">
        <v>1324</v>
      </c>
      <c r="N31" s="1511"/>
      <c r="O31" s="1110">
        <v>1288</v>
      </c>
      <c r="P31" s="634"/>
      <c r="Q31" s="634">
        <f>+'Exhibit I Federal'!AD65</f>
        <v>1323.9</v>
      </c>
      <c r="R31" s="634"/>
      <c r="S31" s="634">
        <f>ROUND(SUM(Q31)-SUM(M31),1)</f>
        <v>-0.1</v>
      </c>
      <c r="T31" s="931"/>
      <c r="U31" s="1511">
        <f>Q31-O31</f>
        <v>35.900000000000091</v>
      </c>
      <c r="V31" s="931"/>
      <c r="W31" s="962"/>
      <c r="X31" s="931"/>
      <c r="Y31" s="962"/>
      <c r="Z31" s="931"/>
      <c r="AA31" s="931"/>
    </row>
    <row r="32" spans="1:48">
      <c r="A32" s="809" t="s">
        <v>97</v>
      </c>
      <c r="B32" s="912" t="s">
        <v>14</v>
      </c>
      <c r="C32" s="1110">
        <v>319</v>
      </c>
      <c r="D32" s="1511"/>
      <c r="E32" s="1110">
        <v>344</v>
      </c>
      <c r="F32" s="634"/>
      <c r="G32" s="671">
        <f>-'Exhibit I State'!AD93</f>
        <v>342.4</v>
      </c>
      <c r="H32" s="634"/>
      <c r="I32" s="634">
        <f>ROUND(SUM(G32)-SUM(C32),1)</f>
        <v>23.4</v>
      </c>
      <c r="J32" s="931"/>
      <c r="K32" s="1511">
        <f>+G32-E32</f>
        <v>-1.6000000000000227</v>
      </c>
      <c r="L32" s="942"/>
      <c r="M32" s="1110">
        <v>0</v>
      </c>
      <c r="N32" s="1511"/>
      <c r="O32" s="1110">
        <v>0</v>
      </c>
      <c r="P32" s="634"/>
      <c r="Q32" s="671">
        <f>-'Exhibit I Federal'!AD74</f>
        <v>0.4</v>
      </c>
      <c r="R32" s="634"/>
      <c r="S32" s="634">
        <f>ROUND(SUM(Q32)-SUM(M32),1)</f>
        <v>0.4</v>
      </c>
      <c r="T32" s="932"/>
      <c r="U32" s="1511">
        <f>Q32-O32</f>
        <v>0.4</v>
      </c>
      <c r="V32" s="931"/>
      <c r="W32" s="962"/>
      <c r="X32" s="931"/>
      <c r="Y32" s="962"/>
      <c r="Z32" s="931"/>
      <c r="AA32" s="931"/>
    </row>
    <row r="33" spans="1:48" ht="18" customHeight="1">
      <c r="A33" s="170" t="s">
        <v>116</v>
      </c>
      <c r="B33" s="148" t="s">
        <v>14</v>
      </c>
      <c r="C33" s="1854">
        <f>ROUND(SUM(C30:C32),1)</f>
        <v>11022</v>
      </c>
      <c r="D33" s="910"/>
      <c r="E33" s="1854">
        <f>ROUND(SUM(E30:E32),1)</f>
        <v>9908</v>
      </c>
      <c r="F33" s="910"/>
      <c r="G33" s="212">
        <f>ROUND(SUM(G30:G32),1)</f>
        <v>9355.5</v>
      </c>
      <c r="H33" s="910"/>
      <c r="I33" s="212">
        <f>ROUND(SUM(I30:I32),1)</f>
        <v>-1666.5</v>
      </c>
      <c r="J33" s="73"/>
      <c r="K33" s="212">
        <f>ROUND(SUM(K30:K32),1)</f>
        <v>-552.5</v>
      </c>
      <c r="L33" s="944"/>
      <c r="M33" s="1853">
        <f>ROUND(SUM(M30:M32),1)</f>
        <v>1865</v>
      </c>
      <c r="N33" s="910"/>
      <c r="O33" s="1853">
        <f>ROUND(SUM(O30:O32),1)</f>
        <v>1872</v>
      </c>
      <c r="P33" s="910"/>
      <c r="Q33" s="212">
        <f>ROUND(SUM(Q30:Q32),1)</f>
        <v>1858.9</v>
      </c>
      <c r="R33" s="910"/>
      <c r="S33" s="212">
        <f>ROUND(SUM(S30:S32),1)</f>
        <v>-6.1</v>
      </c>
      <c r="T33" s="73"/>
      <c r="U33" s="212">
        <f>ROUND(SUM(U30:U32),1)</f>
        <v>-13.1</v>
      </c>
      <c r="V33" s="73"/>
      <c r="W33" s="73"/>
      <c r="X33" s="73"/>
      <c r="Y33" s="73"/>
      <c r="Z33" s="73"/>
      <c r="AA33" s="73"/>
    </row>
    <row r="34" spans="1:48">
      <c r="A34" s="679"/>
      <c r="B34" s="912" t="s">
        <v>14</v>
      </c>
      <c r="C34" s="1855"/>
      <c r="D34" s="1511"/>
      <c r="E34" s="1855"/>
      <c r="F34" s="634"/>
      <c r="G34" s="677"/>
      <c r="H34" s="634"/>
      <c r="I34" s="677"/>
      <c r="J34" s="931"/>
      <c r="K34" s="677"/>
      <c r="L34" s="942"/>
      <c r="M34" s="1851"/>
      <c r="N34" s="1511"/>
      <c r="O34" s="1851"/>
      <c r="P34" s="634"/>
      <c r="Q34" s="677"/>
      <c r="R34" s="634"/>
      <c r="S34" s="677"/>
      <c r="T34" s="931"/>
      <c r="U34" s="677"/>
      <c r="V34" s="931"/>
      <c r="W34" s="931"/>
      <c r="X34" s="931"/>
      <c r="Y34" s="931"/>
      <c r="Z34" s="931"/>
      <c r="AA34" s="931"/>
    </row>
    <row r="35" spans="1:48" ht="15.6">
      <c r="A35" s="26" t="s">
        <v>99</v>
      </c>
      <c r="B35" s="912"/>
      <c r="C35" s="883"/>
      <c r="D35" s="1511"/>
      <c r="E35" s="883"/>
      <c r="F35" s="634"/>
      <c r="G35" s="634"/>
      <c r="H35" s="634"/>
      <c r="I35" s="634"/>
      <c r="J35" s="931"/>
      <c r="K35" s="1511"/>
      <c r="L35" s="942"/>
      <c r="M35" s="1511"/>
      <c r="N35" s="1511"/>
      <c r="O35" s="1511"/>
      <c r="P35" s="634"/>
      <c r="Q35" s="634"/>
      <c r="R35" s="634"/>
      <c r="S35" s="634"/>
      <c r="T35" s="931"/>
      <c r="U35" s="1511"/>
      <c r="V35" s="931"/>
      <c r="W35" s="931"/>
      <c r="X35" s="931"/>
      <c r="Y35" s="931"/>
      <c r="Z35" s="931"/>
      <c r="AA35" s="931"/>
    </row>
    <row r="36" spans="1:48" ht="15.6">
      <c r="A36" s="26" t="s">
        <v>100</v>
      </c>
      <c r="B36" s="912"/>
      <c r="C36" s="883"/>
      <c r="D36" s="1511"/>
      <c r="E36" s="883"/>
      <c r="F36" s="634"/>
      <c r="G36" s="634"/>
      <c r="H36" s="634"/>
      <c r="I36" s="634"/>
      <c r="J36" s="931"/>
      <c r="K36" s="1511"/>
      <c r="L36" s="942"/>
      <c r="M36" s="1511"/>
      <c r="N36" s="1511"/>
      <c r="O36" s="1511"/>
      <c r="P36" s="634"/>
      <c r="Q36" s="634"/>
      <c r="R36" s="634"/>
      <c r="S36" s="634"/>
      <c r="T36" s="931"/>
      <c r="U36" s="1511"/>
      <c r="V36" s="931"/>
      <c r="W36" s="931"/>
      <c r="X36" s="931"/>
      <c r="Y36" s="931"/>
      <c r="Z36" s="931"/>
      <c r="AA36" s="931"/>
    </row>
    <row r="37" spans="1:48" ht="15.6">
      <c r="A37" s="170" t="s">
        <v>101</v>
      </c>
      <c r="B37" s="171" t="s">
        <v>14</v>
      </c>
      <c r="C37" s="112">
        <f>ROUND(SUM(C27)-SUM(C33),1)</f>
        <v>-816</v>
      </c>
      <c r="D37" s="81"/>
      <c r="E37" s="112">
        <f>ROUND(SUM(E27)-SUM(E33),1)</f>
        <v>-466</v>
      </c>
      <c r="F37" s="81"/>
      <c r="G37" s="73">
        <f>ROUND(SUM(G27)-SUM(G33),1)</f>
        <v>-165.5</v>
      </c>
      <c r="H37" s="81"/>
      <c r="I37" s="73">
        <f>ROUND(SUM(I27)-SUM(I33),1)</f>
        <v>650.5</v>
      </c>
      <c r="J37" s="73"/>
      <c r="K37" s="1512">
        <f>+G37-E37</f>
        <v>300.5</v>
      </c>
      <c r="L37" s="944"/>
      <c r="M37" s="1512">
        <f>ROUND(SUM(M27)-SUM(M33),1)</f>
        <v>179</v>
      </c>
      <c r="N37" s="81"/>
      <c r="O37" s="1512">
        <f>ROUND(SUM(O27)-SUM(O33),1)</f>
        <v>-265</v>
      </c>
      <c r="P37" s="81"/>
      <c r="Q37" s="73">
        <f>ROUND(SUM(Q27)-SUM(Q33),1)</f>
        <v>-304.8</v>
      </c>
      <c r="R37" s="81"/>
      <c r="S37" s="73">
        <f>ROUND(SUM(S27)-SUM(S33),1)</f>
        <v>-483.8</v>
      </c>
      <c r="T37" s="1512"/>
      <c r="U37" s="1512">
        <f>ROUND(SUM(U27)-SUM(U33),1)</f>
        <v>-39.799999999999997</v>
      </c>
      <c r="V37" s="389"/>
      <c r="W37" s="73"/>
      <c r="X37" s="389"/>
      <c r="Y37" s="73"/>
      <c r="Z37" s="389"/>
      <c r="AA37" s="73"/>
      <c r="AB37" s="613"/>
    </row>
    <row r="38" spans="1:48" ht="15.6">
      <c r="B38" s="613"/>
      <c r="C38" s="1469"/>
      <c r="D38" s="920"/>
      <c r="E38" s="1469"/>
      <c r="F38" s="920"/>
      <c r="G38" s="660"/>
      <c r="H38" s="920"/>
      <c r="I38" s="660"/>
      <c r="J38" s="660"/>
      <c r="K38" s="343"/>
      <c r="L38" s="944"/>
      <c r="M38" s="660"/>
      <c r="N38" s="920"/>
      <c r="O38" s="660"/>
      <c r="P38" s="920"/>
      <c r="Q38" s="660"/>
      <c r="R38" s="920"/>
      <c r="S38" s="660"/>
      <c r="T38" s="660"/>
      <c r="U38" s="660"/>
      <c r="V38" s="660"/>
      <c r="W38" s="660"/>
      <c r="X38" s="660"/>
      <c r="Y38" s="660"/>
      <c r="Z38" s="660"/>
      <c r="AA38" s="660"/>
    </row>
    <row r="39" spans="1:48" ht="15.6">
      <c r="A39" s="170" t="s">
        <v>102</v>
      </c>
      <c r="B39" s="922" t="s">
        <v>14</v>
      </c>
      <c r="C39" s="112">
        <v>-562</v>
      </c>
      <c r="D39" s="1630"/>
      <c r="E39" s="112">
        <v>-562</v>
      </c>
      <c r="F39" s="920"/>
      <c r="G39" s="112">
        <f>'Exhibit I State'!E14</f>
        <v>-563.70000000000005</v>
      </c>
      <c r="H39" s="920"/>
      <c r="I39" s="970">
        <f>ROUND(SUM(G39)-SUM(C39),1)</f>
        <v>-1.7</v>
      </c>
      <c r="J39" s="78"/>
      <c r="K39" s="1512">
        <f>+G39-E39</f>
        <v>-1.7000000000000455</v>
      </c>
      <c r="L39" s="944"/>
      <c r="M39" s="112">
        <v>-582</v>
      </c>
      <c r="N39" s="1630"/>
      <c r="O39" s="112">
        <v>-582</v>
      </c>
      <c r="P39" s="920"/>
      <c r="Q39" s="112">
        <f>'Exhibit I Federal'!E14</f>
        <v>-580.29999999999995</v>
      </c>
      <c r="R39" s="920"/>
      <c r="S39" s="970">
        <f>ROUND(SUM(Q39)-SUM(M39),1)</f>
        <v>1.7</v>
      </c>
      <c r="T39" s="660"/>
      <c r="U39" s="1512">
        <f>+Q39-O39</f>
        <v>1.7000000000000455</v>
      </c>
      <c r="V39" s="660"/>
      <c r="W39" s="73"/>
      <c r="X39" s="660"/>
      <c r="Y39" s="73"/>
      <c r="Z39" s="660"/>
      <c r="AA39" s="78"/>
      <c r="AB39" s="613"/>
      <c r="AC39" s="613"/>
      <c r="AD39" s="613"/>
      <c r="AE39" s="613"/>
      <c r="AF39" s="613"/>
      <c r="AG39" s="613"/>
      <c r="AH39" s="613"/>
      <c r="AI39" s="613"/>
      <c r="AJ39" s="613"/>
      <c r="AK39" s="613"/>
      <c r="AL39" s="613"/>
      <c r="AM39" s="613"/>
      <c r="AN39" s="613"/>
      <c r="AO39" s="613"/>
      <c r="AP39" s="613"/>
      <c r="AQ39" s="613"/>
      <c r="AR39" s="613"/>
      <c r="AS39" s="613"/>
      <c r="AT39" s="613"/>
      <c r="AU39" s="613"/>
      <c r="AV39" s="923"/>
    </row>
    <row r="40" spans="1:48" ht="16.2" thickBot="1">
      <c r="A40" s="1367" t="str">
        <f>+'Exh D-Governmental  '!A50</f>
        <v>Fund Balances (Deficits) at January 31, 2022</v>
      </c>
      <c r="B40" s="177" t="s">
        <v>14</v>
      </c>
      <c r="C40" s="95">
        <f>ROUND(SUM(C37:C39),1)</f>
        <v>-1378</v>
      </c>
      <c r="D40" s="178"/>
      <c r="E40" s="95">
        <f>ROUND(SUM(E37:E39),1)</f>
        <v>-1028</v>
      </c>
      <c r="F40" s="178"/>
      <c r="G40" s="1470">
        <f>ROUND(SUM(G37:G39),1)</f>
        <v>-729.2</v>
      </c>
      <c r="H40" s="178"/>
      <c r="I40" s="95">
        <f>ROUND(SUM(I37:I39),1)</f>
        <v>648.79999999999995</v>
      </c>
      <c r="J40" s="216"/>
      <c r="K40" s="95">
        <f>ROUND(SUM(K37:K39),1)</f>
        <v>298.8</v>
      </c>
      <c r="L40" s="945"/>
      <c r="M40" s="95">
        <f>ROUND(SUM(M37:M39),1)</f>
        <v>-403</v>
      </c>
      <c r="N40" s="178"/>
      <c r="O40" s="95">
        <f>ROUND(SUM(O37:O39),1)</f>
        <v>-847</v>
      </c>
      <c r="P40" s="178"/>
      <c r="Q40" s="95">
        <f>ROUND(SUM(Q37:Q39),1)</f>
        <v>-885.1</v>
      </c>
      <c r="R40" s="178"/>
      <c r="S40" s="95">
        <f>ROUND(SUM(S37:S39),1)</f>
        <v>-482.1</v>
      </c>
      <c r="T40" s="178"/>
      <c r="U40" s="95">
        <f>ROUND(SUM(U37:U39),1)</f>
        <v>-38.1</v>
      </c>
      <c r="V40" s="963"/>
      <c r="W40" s="216"/>
      <c r="X40" s="963"/>
      <c r="Y40" s="216"/>
      <c r="Z40" s="963"/>
      <c r="AA40" s="216"/>
      <c r="AB40" s="613"/>
      <c r="AC40" s="613"/>
      <c r="AD40" s="613"/>
      <c r="AE40" s="613"/>
      <c r="AF40" s="613"/>
      <c r="AG40" s="613"/>
      <c r="AH40" s="613"/>
      <c r="AI40" s="613"/>
      <c r="AJ40" s="613"/>
      <c r="AK40" s="613"/>
      <c r="AL40" s="613"/>
      <c r="AM40" s="613"/>
      <c r="AN40" s="613"/>
      <c r="AO40" s="613"/>
      <c r="AP40" s="613"/>
      <c r="AQ40" s="613"/>
      <c r="AR40" s="613"/>
      <c r="AS40" s="613"/>
      <c r="AT40" s="613"/>
      <c r="AU40" s="613"/>
      <c r="AV40" s="923"/>
    </row>
    <row r="41" spans="1:48" ht="15.6" thickTop="1">
      <c r="B41" s="613"/>
      <c r="L41" s="613"/>
      <c r="N41" s="923"/>
      <c r="P41" s="923"/>
      <c r="Q41" s="946"/>
      <c r="R41" s="923"/>
      <c r="S41" s="923"/>
      <c r="U41" s="923"/>
      <c r="W41" s="613"/>
      <c r="Y41" s="921"/>
    </row>
    <row r="42" spans="1:48">
      <c r="A42" s="924" t="str">
        <f>'Exh D-Governmental  '!A52</f>
        <v>(*)    Source: 2021-22 Enacted Financial Plan dated May 25, 2021.</v>
      </c>
      <c r="B42" s="613"/>
      <c r="S42" s="1399"/>
    </row>
    <row r="43" spans="1:48" s="981" customFormat="1">
      <c r="A43" s="924" t="str">
        <f>'Exh D-Governmental  '!A53</f>
        <v>(**)   Source: 2022-23 Executive Budget dated January 18, 2022.</v>
      </c>
      <c r="B43" s="1920"/>
      <c r="C43" s="423"/>
      <c r="D43" s="939"/>
      <c r="E43" s="423"/>
      <c r="F43" s="939"/>
      <c r="G43" s="939"/>
      <c r="H43" s="939"/>
      <c r="I43" s="939"/>
      <c r="J43" s="939"/>
      <c r="K43" s="1920"/>
      <c r="L43" s="423"/>
      <c r="M43" s="1920"/>
      <c r="N43" s="1920"/>
      <c r="O43" s="1920"/>
      <c r="P43" s="1920"/>
      <c r="Q43" s="1920"/>
      <c r="R43" s="1920"/>
      <c r="S43" s="1920"/>
      <c r="T43" s="1920"/>
      <c r="U43" s="1920"/>
      <c r="V43" s="1920"/>
      <c r="W43" s="1920"/>
      <c r="X43" s="1920"/>
      <c r="Y43" s="1920"/>
      <c r="Z43" s="1920"/>
      <c r="AA43" s="1920"/>
      <c r="AB43" s="1920"/>
      <c r="AC43" s="1920"/>
      <c r="AD43" s="1920"/>
      <c r="AE43" s="1920"/>
      <c r="AF43" s="1920"/>
      <c r="AG43" s="1920"/>
      <c r="AH43" s="1920"/>
      <c r="AI43" s="1920"/>
      <c r="AJ43" s="1920"/>
      <c r="AK43" s="939"/>
    </row>
    <row r="44" spans="1:48">
      <c r="A44" s="1482"/>
      <c r="B44" s="613"/>
      <c r="Y44" s="935"/>
      <c r="Z44" s="912"/>
      <c r="AA44" s="935"/>
      <c r="AB44" s="648"/>
      <c r="AC44" s="947"/>
    </row>
    <row r="45" spans="1:48">
      <c r="A45" s="1482"/>
      <c r="B45" s="613"/>
    </row>
    <row r="46" spans="1:48">
      <c r="A46" s="1039"/>
      <c r="B46" s="613"/>
    </row>
    <row r="47" spans="1:48">
      <c r="A47" s="180"/>
      <c r="B47" s="613"/>
    </row>
    <row r="48" spans="1:48">
      <c r="B48" s="613"/>
    </row>
    <row r="49" spans="2:7">
      <c r="B49" s="613"/>
    </row>
    <row r="52" spans="2:7">
      <c r="G52" s="946"/>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80" workbookViewId="0"/>
  </sheetViews>
  <sheetFormatPr defaultColWidth="9.81640625" defaultRowHeight="13.2"/>
  <cols>
    <col min="1" max="1" width="32.08984375" style="2762" customWidth="1"/>
    <col min="2" max="2" width="10.81640625" style="2762" customWidth="1"/>
    <col min="3" max="3" width="3.453125" style="2762" customWidth="1"/>
    <col min="4" max="4" width="12.08984375" style="2762" customWidth="1"/>
    <col min="5" max="5" width="1.81640625" style="2762" customWidth="1"/>
    <col min="6" max="6" width="17" style="2762" bestFit="1" customWidth="1"/>
    <col min="7" max="7" width="1.81640625" style="2762" customWidth="1"/>
    <col min="8" max="8" width="12.08984375" style="2762" customWidth="1"/>
    <col min="9" max="9" width="1.81640625" style="2762" customWidth="1"/>
    <col min="10" max="10" width="12.08984375" style="2762" customWidth="1"/>
    <col min="11" max="11" width="1.81640625" style="2762" customWidth="1"/>
    <col min="12" max="12" width="12.08984375" style="2762" customWidth="1"/>
    <col min="13" max="13" width="1.81640625" style="2762" customWidth="1"/>
    <col min="14" max="14" width="13" style="2762" customWidth="1"/>
    <col min="15" max="15" width="1.81640625" style="2762" customWidth="1"/>
    <col min="16" max="16" width="12.08984375" style="2762" customWidth="1"/>
    <col min="17" max="17" width="1.81640625" style="2762" customWidth="1"/>
    <col min="18" max="18" width="12.08984375" style="2762" customWidth="1"/>
    <col min="19" max="19" width="1.81640625" style="2762" customWidth="1"/>
    <col min="20" max="20" width="1" style="2762" customWidth="1"/>
    <col min="21" max="21" width="1.81640625" style="2762" customWidth="1"/>
    <col min="22" max="22" width="15.54296875" style="2786" customWidth="1"/>
    <col min="23" max="23" width="1.81640625" style="2786" customWidth="1"/>
    <col min="24" max="24" width="17" style="2786" bestFit="1" customWidth="1"/>
    <col min="25" max="25" width="1.81640625" style="2762" customWidth="1"/>
    <col min="26" max="26" width="1" style="2762" customWidth="1"/>
    <col min="27" max="27" width="1.81640625" style="2762" customWidth="1"/>
    <col min="28" max="28" width="17.08984375" style="2786" customWidth="1"/>
    <col min="29" max="29" width="2" style="2786" customWidth="1"/>
    <col min="30" max="30" width="16.08984375" style="2786" customWidth="1"/>
    <col min="31" max="31" width="1.54296875" style="2786" customWidth="1"/>
    <col min="32" max="32" width="0.453125" style="2786" customWidth="1"/>
    <col min="33" max="33" width="1.54296875" style="2786" customWidth="1"/>
    <col min="34" max="34" width="14.54296875" style="2786" bestFit="1" customWidth="1"/>
    <col min="35" max="35" width="1.81640625" style="2762" customWidth="1"/>
    <col min="36" max="36" width="13.08984375" style="2762" customWidth="1"/>
    <col min="37" max="37" width="2.08984375" style="2762" customWidth="1"/>
    <col min="38" max="38" width="1.81640625" style="2762" customWidth="1"/>
    <col min="39" max="16384" width="9.81640625" style="2762"/>
  </cols>
  <sheetData>
    <row r="1" spans="1:38" s="2754" customFormat="1" ht="15">
      <c r="A1" s="2210" t="s">
        <v>881</v>
      </c>
      <c r="V1" s="3056"/>
      <c r="W1" s="3056"/>
      <c r="X1" s="3056"/>
      <c r="AB1" s="3056"/>
      <c r="AC1" s="3056"/>
      <c r="AD1" s="3056"/>
      <c r="AE1" s="3056"/>
      <c r="AF1" s="3056"/>
      <c r="AG1" s="3056"/>
      <c r="AH1" s="3056"/>
    </row>
    <row r="2" spans="1:38" s="2757" customFormat="1">
      <c r="A2" s="2755"/>
      <c r="B2" s="2756"/>
      <c r="C2" s="2756"/>
      <c r="D2" s="2754"/>
      <c r="E2" s="2756"/>
      <c r="F2" s="2756"/>
      <c r="G2" s="2756"/>
      <c r="H2" s="2756"/>
      <c r="I2" s="2756"/>
      <c r="J2" s="2756"/>
      <c r="K2" s="2756"/>
      <c r="L2" s="2756"/>
      <c r="M2" s="2756"/>
      <c r="N2" s="2756"/>
      <c r="O2" s="2756"/>
      <c r="P2" s="2756"/>
      <c r="Q2" s="2756"/>
      <c r="R2" s="2756"/>
      <c r="S2" s="2756"/>
      <c r="T2" s="2756"/>
      <c r="U2" s="2756"/>
      <c r="V2" s="3057"/>
      <c r="W2" s="3057"/>
      <c r="X2" s="3057"/>
      <c r="Y2" s="2756"/>
      <c r="Z2" s="2756"/>
      <c r="AA2" s="2756"/>
      <c r="AB2" s="3057"/>
      <c r="AC2" s="3057"/>
      <c r="AD2" s="3057"/>
      <c r="AE2" s="3057"/>
      <c r="AF2" s="3057"/>
      <c r="AG2" s="3057"/>
      <c r="AH2" s="3057"/>
    </row>
    <row r="3" spans="1:38" ht="17.399999999999999">
      <c r="A3" s="2758" t="s">
        <v>0</v>
      </c>
      <c r="B3" s="2759"/>
      <c r="C3" s="2759"/>
      <c r="D3" s="2754"/>
      <c r="E3" s="2759"/>
      <c r="F3" s="2759"/>
      <c r="G3" s="2759"/>
      <c r="H3" s="2759"/>
      <c r="I3" s="2759"/>
      <c r="J3" s="2759"/>
      <c r="K3" s="2759"/>
      <c r="L3" s="2760"/>
      <c r="M3" s="2760"/>
      <c r="N3" s="2760"/>
      <c r="O3" s="2760"/>
      <c r="P3" s="2759"/>
      <c r="Q3" s="2759"/>
      <c r="R3" s="2759"/>
      <c r="S3" s="2760"/>
      <c r="T3" s="2759"/>
      <c r="U3" s="2760"/>
      <c r="V3" s="3058"/>
      <c r="W3" s="3058"/>
      <c r="X3" s="3058"/>
      <c r="Y3" s="2760"/>
      <c r="Z3" s="2760"/>
      <c r="AA3" s="2760"/>
      <c r="AB3" s="3058"/>
      <c r="AC3" s="3058"/>
      <c r="AD3" s="3058"/>
      <c r="AE3" s="3058"/>
      <c r="AF3" s="3309"/>
      <c r="AG3" s="3309"/>
      <c r="AH3" s="2785"/>
      <c r="AI3" s="2761"/>
    </row>
    <row r="4" spans="1:38" ht="17.399999999999999">
      <c r="A4" s="2763" t="s">
        <v>1</v>
      </c>
      <c r="B4" s="2759"/>
      <c r="C4" s="2759"/>
      <c r="D4" s="2754"/>
      <c r="E4" s="2759"/>
      <c r="F4" s="2759"/>
      <c r="G4" s="2759"/>
      <c r="H4" s="2759"/>
      <c r="I4" s="2759"/>
      <c r="J4" s="2759"/>
      <c r="K4" s="2759"/>
      <c r="L4" s="2760"/>
      <c r="M4" s="2760"/>
      <c r="N4" s="2760"/>
      <c r="O4" s="2760"/>
      <c r="P4" s="2759"/>
      <c r="Q4" s="2759"/>
      <c r="R4" s="2759"/>
      <c r="S4" s="2760"/>
      <c r="T4" s="2759"/>
      <c r="U4" s="2760"/>
      <c r="V4" s="3058"/>
      <c r="W4" s="3058"/>
      <c r="X4" s="3058"/>
      <c r="Y4" s="2760"/>
      <c r="Z4" s="2760"/>
      <c r="AA4" s="2760"/>
      <c r="AB4" s="3058"/>
      <c r="AC4" s="3058"/>
      <c r="AD4" s="3058"/>
      <c r="AE4" s="3058"/>
      <c r="AF4" s="3309"/>
      <c r="AG4" s="3309"/>
      <c r="AH4" s="2785"/>
      <c r="AI4" s="2761"/>
    </row>
    <row r="5" spans="1:38" ht="17.399999999999999">
      <c r="A5" s="2758" t="s">
        <v>1368</v>
      </c>
      <c r="B5" s="2759"/>
      <c r="C5" s="2759"/>
      <c r="D5" s="2754"/>
      <c r="E5" s="2759"/>
      <c r="F5" s="2759"/>
      <c r="G5" s="2759"/>
      <c r="H5" s="2760"/>
      <c r="I5" s="2760"/>
      <c r="J5" s="2760"/>
      <c r="K5" s="2759"/>
      <c r="L5" s="2760"/>
      <c r="M5" s="2760"/>
      <c r="N5" s="2760"/>
      <c r="O5" s="2760"/>
      <c r="P5" s="2759"/>
      <c r="Q5" s="2759"/>
      <c r="R5" s="2759"/>
      <c r="S5" s="2760"/>
      <c r="T5" s="2759"/>
      <c r="U5" s="2760"/>
      <c r="V5" s="3058"/>
      <c r="W5" s="3058"/>
      <c r="X5" s="3058"/>
      <c r="Y5" s="2760"/>
      <c r="Z5" s="2760"/>
      <c r="AA5" s="2760"/>
      <c r="AB5" s="3058"/>
      <c r="AC5" s="3058"/>
      <c r="AD5" s="3058"/>
      <c r="AE5" s="3058"/>
      <c r="AF5" s="3309"/>
      <c r="AG5" s="3309"/>
      <c r="AH5" s="2785"/>
      <c r="AI5" s="2761"/>
    </row>
    <row r="6" spans="1:38" ht="17.399999999999999">
      <c r="A6" s="2758" t="s">
        <v>1263</v>
      </c>
      <c r="B6" s="2759"/>
      <c r="C6" s="2759"/>
      <c r="D6" s="2754"/>
      <c r="E6" s="2759"/>
      <c r="F6" s="2759"/>
      <c r="G6" s="2759"/>
      <c r="H6" s="2759"/>
      <c r="I6" s="2759"/>
      <c r="J6" s="2759"/>
      <c r="K6" s="2759"/>
      <c r="L6" s="2760"/>
      <c r="M6" s="2760"/>
      <c r="N6" s="2760"/>
      <c r="O6" s="2760"/>
      <c r="P6" s="2759"/>
      <c r="Q6" s="2759"/>
      <c r="R6" s="2759"/>
      <c r="S6" s="2760"/>
      <c r="T6" s="2759"/>
      <c r="U6" s="2760"/>
      <c r="V6" s="3058"/>
      <c r="W6" s="3058"/>
      <c r="X6" s="3058"/>
      <c r="Y6" s="2760"/>
      <c r="Z6" s="2760"/>
      <c r="AA6" s="2760"/>
      <c r="AB6" s="3058"/>
      <c r="AC6" s="3058"/>
      <c r="AD6" s="3058"/>
      <c r="AE6" s="3058"/>
      <c r="AF6" s="3309"/>
      <c r="AG6" s="3309"/>
      <c r="AH6" s="2785"/>
      <c r="AI6" s="2761"/>
    </row>
    <row r="7" spans="1:38" ht="17.399999999999999">
      <c r="A7" s="2759"/>
      <c r="B7" s="2759"/>
      <c r="C7" s="2759"/>
      <c r="D7" s="2754"/>
      <c r="E7" s="2759"/>
      <c r="F7" s="2759"/>
      <c r="G7" s="2759"/>
      <c r="H7" s="2759"/>
      <c r="I7" s="2759"/>
      <c r="J7" s="2759"/>
      <c r="K7" s="2759"/>
      <c r="L7" s="2760"/>
      <c r="M7" s="2760"/>
      <c r="N7" s="2760"/>
      <c r="O7" s="2760"/>
      <c r="P7" s="2760"/>
      <c r="Q7" s="2760"/>
      <c r="R7" s="2760"/>
      <c r="S7" s="2760"/>
      <c r="T7" s="2760"/>
      <c r="U7" s="2760"/>
      <c r="V7" s="3058"/>
      <c r="W7" s="3058"/>
      <c r="X7" s="3058"/>
      <c r="Y7" s="2760"/>
      <c r="Z7" s="2760"/>
      <c r="AA7" s="2760"/>
      <c r="AB7" s="3059"/>
      <c r="AC7" s="3059"/>
      <c r="AD7" s="3059"/>
      <c r="AE7" s="3059"/>
      <c r="AF7" s="3309"/>
      <c r="AG7" s="3309"/>
      <c r="AH7" s="2785"/>
      <c r="AI7" s="2761"/>
      <c r="AJ7" s="2764" t="s">
        <v>811</v>
      </c>
    </row>
    <row r="8" spans="1:38" ht="15.6">
      <c r="A8" s="2210"/>
      <c r="B8" s="2210"/>
      <c r="C8" s="2210"/>
      <c r="D8" s="2754"/>
      <c r="E8" s="2210"/>
      <c r="F8" s="2210"/>
      <c r="G8" s="2210"/>
      <c r="H8" s="2210"/>
      <c r="I8" s="2210"/>
      <c r="J8" s="2210"/>
      <c r="K8" s="2210"/>
      <c r="L8" s="2286"/>
      <c r="M8" s="2286"/>
      <c r="N8" s="2286"/>
      <c r="O8" s="2286"/>
      <c r="P8" s="2286"/>
      <c r="Q8" s="2286"/>
      <c r="R8" s="2286"/>
      <c r="S8" s="2286"/>
      <c r="T8" s="2286"/>
      <c r="U8" s="2286"/>
      <c r="V8" s="3016"/>
      <c r="W8" s="3016"/>
      <c r="X8" s="3016"/>
      <c r="Y8" s="2286"/>
      <c r="Z8" s="2286"/>
      <c r="AA8" s="2286"/>
      <c r="AB8" s="3016"/>
      <c r="AC8" s="3016"/>
      <c r="AD8" s="3016"/>
      <c r="AE8" s="3016"/>
      <c r="AF8" s="2304"/>
      <c r="AG8" s="2304"/>
      <c r="AH8" s="2785"/>
      <c r="AI8" s="2761"/>
    </row>
    <row r="9" spans="1:38" ht="15.6">
      <c r="A9" s="2210"/>
      <c r="B9" s="2210"/>
      <c r="C9" s="2210"/>
      <c r="D9" s="2754"/>
      <c r="E9" s="2286"/>
      <c r="F9" s="2286"/>
      <c r="G9" s="2286"/>
      <c r="H9" s="2286"/>
      <c r="I9" s="2286"/>
      <c r="J9" s="2286"/>
      <c r="K9" s="2286"/>
      <c r="L9" s="2286"/>
      <c r="M9" s="2286"/>
      <c r="N9" s="2286"/>
      <c r="O9" s="2286"/>
      <c r="P9" s="2286"/>
      <c r="Q9" s="2286"/>
      <c r="R9" s="2286"/>
      <c r="S9" s="2286"/>
      <c r="T9" s="2286"/>
      <c r="U9" s="2286"/>
      <c r="V9" s="3060"/>
      <c r="W9" s="3060"/>
      <c r="X9" s="3060"/>
      <c r="Y9" s="2765"/>
      <c r="Z9" s="2765"/>
      <c r="AA9" s="2765"/>
      <c r="AB9" s="3060"/>
      <c r="AC9" s="3060"/>
      <c r="AD9" s="3060"/>
      <c r="AE9" s="3060"/>
      <c r="AF9" s="3016"/>
      <c r="AG9" s="3016"/>
      <c r="AH9" s="3310"/>
      <c r="AI9" s="2766"/>
    </row>
    <row r="10" spans="1:38" ht="4.3499999999999996" customHeight="1">
      <c r="A10" s="2210"/>
      <c r="B10" s="2210"/>
      <c r="C10" s="2210"/>
      <c r="D10" s="2210"/>
      <c r="E10" s="2210"/>
      <c r="F10" s="2210"/>
      <c r="G10" s="2210"/>
      <c r="H10" s="2210"/>
      <c r="I10" s="2210"/>
      <c r="J10" s="2210"/>
      <c r="K10" s="2210"/>
      <c r="L10" s="2210"/>
      <c r="M10" s="2210"/>
      <c r="N10" s="2210"/>
      <c r="O10" s="2210"/>
      <c r="P10" s="2210"/>
      <c r="Q10" s="2210"/>
      <c r="R10" s="2210"/>
      <c r="S10" s="2210"/>
      <c r="T10" s="2233"/>
      <c r="U10" s="2233"/>
      <c r="V10" s="2304"/>
      <c r="W10" s="2304"/>
      <c r="X10" s="2304"/>
      <c r="Y10" s="2210"/>
      <c r="Z10" s="2210"/>
      <c r="AA10" s="2210"/>
      <c r="AB10" s="2304"/>
      <c r="AC10" s="2304"/>
      <c r="AD10" s="2304"/>
      <c r="AE10" s="2304"/>
      <c r="AF10" s="2304"/>
      <c r="AG10" s="2304"/>
      <c r="AH10" s="2785"/>
      <c r="AI10" s="2761"/>
    </row>
    <row r="11" spans="1:38" ht="15" customHeight="1">
      <c r="A11" s="2210"/>
      <c r="B11" s="2210"/>
      <c r="C11" s="2210"/>
      <c r="D11" s="2767" t="s">
        <v>2</v>
      </c>
      <c r="E11" s="2767"/>
      <c r="F11" s="2767"/>
      <c r="G11" s="2233"/>
      <c r="H11" s="2767" t="s">
        <v>55</v>
      </c>
      <c r="I11" s="2767"/>
      <c r="J11" s="2767"/>
      <c r="K11" s="2233"/>
      <c r="L11" s="2767" t="s">
        <v>4</v>
      </c>
      <c r="M11" s="2767"/>
      <c r="N11" s="2767"/>
      <c r="O11" s="2233"/>
      <c r="P11" s="2767" t="s">
        <v>119</v>
      </c>
      <c r="Q11" s="2767"/>
      <c r="R11" s="2767"/>
      <c r="S11" s="2210"/>
      <c r="T11" s="2233"/>
      <c r="U11" s="2233"/>
      <c r="V11" s="3314" t="s">
        <v>812</v>
      </c>
      <c r="W11" s="3422"/>
      <c r="X11" s="3422"/>
      <c r="Y11" s="2767"/>
      <c r="Z11" s="2768"/>
      <c r="AA11" s="2768"/>
      <c r="AB11" s="3422"/>
      <c r="AC11" s="3422"/>
      <c r="AD11" s="3422"/>
      <c r="AE11" s="3311"/>
      <c r="AF11" s="3312"/>
      <c r="AG11" s="3313"/>
      <c r="AH11" s="3314" t="s">
        <v>813</v>
      </c>
      <c r="AI11" s="2767"/>
      <c r="AJ11" s="2767"/>
    </row>
    <row r="12" spans="1:38" ht="15.6">
      <c r="A12" s="2210"/>
      <c r="B12" s="2210"/>
      <c r="C12" s="2210"/>
      <c r="D12" s="1486" t="s">
        <v>6</v>
      </c>
      <c r="E12" s="1486"/>
      <c r="F12" s="2769" t="str">
        <f>'Exhibit A'!F11</f>
        <v>10 MOS. ENDED</v>
      </c>
      <c r="G12" s="2301"/>
      <c r="H12" s="1486" t="s">
        <v>6</v>
      </c>
      <c r="I12" s="1487"/>
      <c r="J12" s="1486" t="str">
        <f>F12</f>
        <v>10 MOS. ENDED</v>
      </c>
      <c r="K12" s="2301"/>
      <c r="L12" s="1486" t="s">
        <v>6</v>
      </c>
      <c r="M12" s="1487"/>
      <c r="N12" s="1486" t="str">
        <f>F12</f>
        <v>10 MOS. ENDED</v>
      </c>
      <c r="O12" s="2301"/>
      <c r="P12" s="1486" t="s">
        <v>6</v>
      </c>
      <c r="Q12" s="1487"/>
      <c r="R12" s="1486" t="str">
        <f>F12</f>
        <v>10 MOS. ENDED</v>
      </c>
      <c r="S12" s="2286"/>
      <c r="T12" s="2301"/>
      <c r="U12" s="2301"/>
      <c r="V12" s="3423" t="s">
        <v>6</v>
      </c>
      <c r="W12" s="3423"/>
      <c r="X12" s="3423" t="str">
        <f>F12</f>
        <v>10 MOS. ENDED</v>
      </c>
      <c r="Y12" s="1486"/>
      <c r="Z12" s="1488"/>
      <c r="AA12" s="1488"/>
      <c r="AB12" s="3423" t="s">
        <v>6</v>
      </c>
      <c r="AC12" s="3423"/>
      <c r="AD12" s="3423" t="str">
        <f>F12</f>
        <v>10 MOS. ENDED</v>
      </c>
      <c r="AE12" s="3315"/>
      <c r="AF12" s="3315"/>
      <c r="AG12" s="3316"/>
      <c r="AH12" s="3317" t="s">
        <v>7</v>
      </c>
      <c r="AI12" s="1487"/>
      <c r="AJ12" s="2769" t="s">
        <v>8</v>
      </c>
      <c r="AK12" s="2770"/>
      <c r="AL12" s="2761"/>
    </row>
    <row r="13" spans="1:38" ht="15.6">
      <c r="A13" s="2210"/>
      <c r="B13" s="2210"/>
      <c r="C13" s="2210"/>
      <c r="D13" s="1489" t="str">
        <f>'Exhibit A'!D12</f>
        <v>JAN. 2022</v>
      </c>
      <c r="E13" s="1491"/>
      <c r="F13" s="1489" t="str">
        <f>'Exhibit A'!F12</f>
        <v>JAN. 31, 2022</v>
      </c>
      <c r="G13" s="2286"/>
      <c r="H13" s="1489" t="str">
        <f>D13</f>
        <v>JAN. 2022</v>
      </c>
      <c r="I13" s="1491"/>
      <c r="J13" s="1489" t="str">
        <f>F13</f>
        <v>JAN. 31, 2022</v>
      </c>
      <c r="K13" s="2286"/>
      <c r="L13" s="1489" t="str">
        <f>D13</f>
        <v>JAN. 2022</v>
      </c>
      <c r="M13" s="1491"/>
      <c r="N13" s="1489" t="str">
        <f>F13</f>
        <v>JAN. 31, 2022</v>
      </c>
      <c r="O13" s="2286"/>
      <c r="P13" s="1489" t="str">
        <f>D13</f>
        <v>JAN. 2022</v>
      </c>
      <c r="Q13" s="1491"/>
      <c r="R13" s="1489" t="str">
        <f>F13</f>
        <v>JAN. 31, 2022</v>
      </c>
      <c r="S13" s="2286"/>
      <c r="T13" s="2301"/>
      <c r="U13" s="2301"/>
      <c r="V13" s="3930" t="str">
        <f>D13</f>
        <v>JAN. 2022</v>
      </c>
      <c r="W13" s="3319"/>
      <c r="X13" s="3930" t="str">
        <f>'Exhibit A'!X12</f>
        <v>JAN. 31, 2022</v>
      </c>
      <c r="Y13" s="1490"/>
      <c r="Z13" s="2771"/>
      <c r="AA13" s="2771"/>
      <c r="AB13" s="3424" t="str">
        <f>'Exhibit A'!AB12</f>
        <v>JAN. 2021</v>
      </c>
      <c r="AC13" s="3061"/>
      <c r="AD13" s="3424" t="str">
        <f>'Exhibit A'!AD12</f>
        <v>JAN. 31, 2021</v>
      </c>
      <c r="AE13" s="3061"/>
      <c r="AF13" s="3318"/>
      <c r="AG13" s="3319"/>
      <c r="AH13" s="3320" t="s">
        <v>11</v>
      </c>
      <c r="AI13" s="1491"/>
      <c r="AJ13" s="1489" t="s">
        <v>12</v>
      </c>
      <c r="AK13" s="2770"/>
      <c r="AL13" s="2772"/>
    </row>
    <row r="14" spans="1:38" ht="15">
      <c r="A14" s="2210"/>
      <c r="B14" s="2210"/>
      <c r="C14" s="2210"/>
      <c r="D14" s="2233"/>
      <c r="E14" s="2233"/>
      <c r="F14" s="2233"/>
      <c r="G14" s="2210"/>
      <c r="H14" s="2233"/>
      <c r="I14" s="2233"/>
      <c r="J14" s="2233"/>
      <c r="K14" s="2210"/>
      <c r="L14" s="2233"/>
      <c r="M14" s="2233"/>
      <c r="N14" s="2233"/>
      <c r="O14" s="2210"/>
      <c r="P14" s="2233"/>
      <c r="Q14" s="2233"/>
      <c r="R14" s="2233"/>
      <c r="S14" s="2210"/>
      <c r="T14" s="2773"/>
      <c r="U14" s="2773"/>
      <c r="V14" s="3425"/>
      <c r="W14" s="3062"/>
      <c r="X14" s="3425"/>
      <c r="Y14" s="2233"/>
      <c r="Z14" s="2774"/>
      <c r="AA14" s="2233"/>
      <c r="AB14" s="3425"/>
      <c r="AC14" s="3062"/>
      <c r="AD14" s="3425"/>
      <c r="AE14" s="3062"/>
      <c r="AF14" s="3472"/>
      <c r="AG14" s="3062"/>
      <c r="AH14" s="3062"/>
      <c r="AI14" s="2233"/>
      <c r="AJ14" s="2775"/>
      <c r="AK14" s="2761"/>
      <c r="AL14" s="2761"/>
    </row>
    <row r="15" spans="1:38" ht="18" customHeight="1">
      <c r="A15" s="2776" t="s">
        <v>1077</v>
      </c>
      <c r="B15" s="2777"/>
      <c r="C15" s="2777"/>
      <c r="D15" s="2210"/>
      <c r="E15" s="2210"/>
      <c r="F15" s="2210"/>
      <c r="G15" s="2210"/>
      <c r="H15" s="2210"/>
      <c r="I15" s="2210"/>
      <c r="J15" s="2210"/>
      <c r="K15" s="2210"/>
      <c r="L15" s="2210"/>
      <c r="M15" s="2210"/>
      <c r="N15" s="2210"/>
      <c r="O15" s="2210"/>
      <c r="P15" s="2210"/>
      <c r="Q15" s="2210"/>
      <c r="R15" s="2210"/>
      <c r="S15" s="2210"/>
      <c r="T15" s="2773"/>
      <c r="U15" s="2773"/>
      <c r="V15" s="2304"/>
      <c r="W15" s="2304"/>
      <c r="X15" s="2304"/>
      <c r="Y15" s="2210"/>
      <c r="Z15" s="2774"/>
      <c r="AA15" s="2233"/>
      <c r="AB15" s="2304"/>
      <c r="AC15" s="2304"/>
      <c r="AD15" s="2304"/>
      <c r="AE15" s="2304"/>
      <c r="AF15" s="3472"/>
      <c r="AG15" s="2304"/>
      <c r="AH15" s="2304"/>
      <c r="AI15" s="2210"/>
      <c r="AJ15" s="2775"/>
      <c r="AK15" s="2761"/>
      <c r="AL15" s="2761"/>
    </row>
    <row r="16" spans="1:38" s="2786" customFormat="1" ht="18" customHeight="1">
      <c r="A16" s="2778" t="s">
        <v>814</v>
      </c>
      <c r="B16" s="2778"/>
      <c r="C16" s="2779"/>
      <c r="D16" s="1767">
        <f>'Exhibit F'!V17</f>
        <v>5740.0000000000055</v>
      </c>
      <c r="E16" s="2780"/>
      <c r="F16" s="1767">
        <f>'Exhibit F'!AC17</f>
        <v>40470.1</v>
      </c>
      <c r="G16" s="2780"/>
      <c r="H16" s="1778">
        <v>0</v>
      </c>
      <c r="I16" s="2780"/>
      <c r="J16" s="1778">
        <v>0</v>
      </c>
      <c r="K16" s="2780"/>
      <c r="L16" s="1778">
        <v>0</v>
      </c>
      <c r="M16" s="2780"/>
      <c r="N16" s="1778">
        <v>0</v>
      </c>
      <c r="O16" s="2780"/>
      <c r="P16" s="1778">
        <v>0</v>
      </c>
      <c r="Q16" s="2780"/>
      <c r="R16" s="1778">
        <v>0</v>
      </c>
      <c r="S16" s="1767"/>
      <c r="T16" s="2781"/>
      <c r="U16" s="2782"/>
      <c r="V16" s="1809">
        <f>SUM(D16)+SUM(H16)+SUM(L16)+SUM(P16)</f>
        <v>5740.0000000000055</v>
      </c>
      <c r="W16" s="2780"/>
      <c r="X16" s="1809">
        <f>SUM(F16)+SUM(J16)+SUM(N16)+SUM(R16)</f>
        <v>40470.1</v>
      </c>
      <c r="Y16" s="2783"/>
      <c r="Z16" s="2784"/>
      <c r="AA16" s="2780"/>
      <c r="AB16" s="3426">
        <v>4626.5</v>
      </c>
      <c r="AC16" s="2780"/>
      <c r="AD16" s="1809">
        <f>'Cashflow Governmental'!AE21</f>
        <v>33862.300000000003</v>
      </c>
      <c r="AE16" s="1809"/>
      <c r="AF16" s="3472"/>
      <c r="AG16" s="2783"/>
      <c r="AH16" s="1809">
        <f>ROUND(SUM(X16)-SUM(AD16),1)</f>
        <v>6607.8</v>
      </c>
      <c r="AI16" s="2361"/>
      <c r="AJ16" s="1810">
        <f>ROUND(AH16/AD16,3)</f>
        <v>0.19500000000000001</v>
      </c>
      <c r="AK16" s="1811"/>
      <c r="AL16" s="2785"/>
    </row>
    <row r="17" spans="1:38" s="2786" customFormat="1" ht="18" customHeight="1">
      <c r="A17" s="2787" t="s">
        <v>878</v>
      </c>
      <c r="B17" s="2778"/>
      <c r="C17" s="2788"/>
      <c r="D17" s="612">
        <f>'Exhibit F'!V18</f>
        <v>4677.2000000000007</v>
      </c>
      <c r="E17" s="612"/>
      <c r="F17" s="612">
        <f>'Exhibit F'!AC18</f>
        <v>21232.9</v>
      </c>
      <c r="G17" s="612"/>
      <c r="H17" s="1769">
        <v>0</v>
      </c>
      <c r="I17" s="1771"/>
      <c r="J17" s="1770">
        <v>0</v>
      </c>
      <c r="K17" s="612"/>
      <c r="L17" s="1769">
        <v>0</v>
      </c>
      <c r="M17" s="1771"/>
      <c r="N17" s="1770">
        <v>0</v>
      </c>
      <c r="O17" s="612"/>
      <c r="P17" s="1769">
        <v>0</v>
      </c>
      <c r="Q17" s="1771"/>
      <c r="R17" s="1770">
        <v>0</v>
      </c>
      <c r="S17" s="612"/>
      <c r="T17" s="2789"/>
      <c r="U17" s="2789"/>
      <c r="V17" s="1771">
        <f t="shared" ref="V17:V20" si="0">SUM(D17)+SUM(H17)+SUM(L17)+SUM(P17)</f>
        <v>4677.2000000000007</v>
      </c>
      <c r="W17" s="1406"/>
      <c r="X17" s="1771">
        <f t="shared" ref="X17:X24" si="1">SUM(F17)+SUM(J17)+SUM(N17)+SUM(R17)</f>
        <v>21232.9</v>
      </c>
      <c r="Y17" s="2790"/>
      <c r="Z17" s="2791"/>
      <c r="AA17" s="1406"/>
      <c r="AB17" s="1768">
        <v>4810.2</v>
      </c>
      <c r="AC17" s="612"/>
      <c r="AD17" s="1771">
        <f>'Cashflow Governmental'!AE22</f>
        <v>16157.9</v>
      </c>
      <c r="AE17" s="1771"/>
      <c r="AF17" s="3472"/>
      <c r="AG17" s="2790"/>
      <c r="AH17" s="1771">
        <f>ROUND(SUM(X17)-SUM(AD17),1)</f>
        <v>5075</v>
      </c>
      <c r="AI17" s="2792"/>
      <c r="AJ17" s="3818">
        <f>ROUND(AH17/AD17,3)</f>
        <v>0.314</v>
      </c>
      <c r="AK17" s="1811"/>
      <c r="AL17" s="2785"/>
    </row>
    <row r="18" spans="1:38" s="2786" customFormat="1" ht="18" customHeight="1">
      <c r="A18" s="2778" t="s">
        <v>815</v>
      </c>
      <c r="B18" s="2778" t="s">
        <v>14</v>
      </c>
      <c r="C18" s="2778"/>
      <c r="D18" s="612">
        <f>'Exhibit F'!V19</f>
        <v>51.899999999999636</v>
      </c>
      <c r="E18" s="612"/>
      <c r="F18" s="612">
        <f>'Exhibit F'!AC19</f>
        <v>4189.8999999999996</v>
      </c>
      <c r="G18" s="612"/>
      <c r="H18" s="1769">
        <v>0</v>
      </c>
      <c r="I18" s="1771"/>
      <c r="J18" s="1770">
        <v>0</v>
      </c>
      <c r="K18" s="612"/>
      <c r="L18" s="1769">
        <v>0</v>
      </c>
      <c r="M18" s="1771"/>
      <c r="N18" s="1770">
        <v>0</v>
      </c>
      <c r="O18" s="612"/>
      <c r="P18" s="1769">
        <v>0</v>
      </c>
      <c r="Q18" s="1771"/>
      <c r="R18" s="1770">
        <v>0</v>
      </c>
      <c r="S18" s="612"/>
      <c r="T18" s="2789"/>
      <c r="U18" s="2789"/>
      <c r="V18" s="1771">
        <f t="shared" si="0"/>
        <v>51.899999999999636</v>
      </c>
      <c r="W18" s="1406"/>
      <c r="X18" s="1771">
        <f t="shared" si="1"/>
        <v>4189.8999999999996</v>
      </c>
      <c r="Y18" s="2790"/>
      <c r="Z18" s="2791"/>
      <c r="AA18" s="1406"/>
      <c r="AB18" s="1768">
        <v>22.5</v>
      </c>
      <c r="AC18" s="612"/>
      <c r="AD18" s="1771">
        <f>'Cashflow Governmental'!AE23</f>
        <v>3276.7</v>
      </c>
      <c r="AE18" s="1771"/>
      <c r="AF18" s="3472"/>
      <c r="AG18" s="2790"/>
      <c r="AH18" s="1771">
        <f>ROUND(SUM(X18)-SUM(AD18),1)</f>
        <v>913.2</v>
      </c>
      <c r="AI18" s="2792"/>
      <c r="AJ18" s="1811">
        <f>ROUND(AH18/AD18,3)</f>
        <v>0.27900000000000003</v>
      </c>
      <c r="AK18" s="1811"/>
      <c r="AL18" s="2785"/>
    </row>
    <row r="19" spans="1:38" s="2786" customFormat="1" ht="18" customHeight="1">
      <c r="A19" s="2787" t="s">
        <v>816</v>
      </c>
      <c r="B19" s="2778"/>
      <c r="C19" s="2778"/>
      <c r="D19" s="612">
        <f>'Exhibit F'!V20</f>
        <v>-79.700000000000045</v>
      </c>
      <c r="E19" s="612"/>
      <c r="F19" s="612">
        <f>'Exhibit F'!AC20</f>
        <v>-940.5</v>
      </c>
      <c r="G19" s="612"/>
      <c r="H19" s="1769">
        <v>0</v>
      </c>
      <c r="I19" s="1771"/>
      <c r="J19" s="1770">
        <v>0</v>
      </c>
      <c r="K19" s="612"/>
      <c r="L19" s="1769">
        <v>0</v>
      </c>
      <c r="M19" s="1771"/>
      <c r="N19" s="1770">
        <v>0</v>
      </c>
      <c r="O19" s="612"/>
      <c r="P19" s="1769">
        <v>0</v>
      </c>
      <c r="Q19" s="1771"/>
      <c r="R19" s="1770">
        <v>0</v>
      </c>
      <c r="S19" s="612"/>
      <c r="T19" s="2789"/>
      <c r="U19" s="2789"/>
      <c r="V19" s="1771">
        <f t="shared" si="0"/>
        <v>-79.700000000000045</v>
      </c>
      <c r="W19" s="1406"/>
      <c r="X19" s="1771">
        <f t="shared" si="1"/>
        <v>-940.5</v>
      </c>
      <c r="Y19" s="2790"/>
      <c r="Z19" s="2791"/>
      <c r="AA19" s="1406"/>
      <c r="AB19" s="1768">
        <v>-3.5</v>
      </c>
      <c r="AC19" s="612"/>
      <c r="AD19" s="1771">
        <f>'Cashflow Governmental'!AE24</f>
        <v>-1027.4000000000001</v>
      </c>
      <c r="AE19" s="1771"/>
      <c r="AF19" s="3472"/>
      <c r="AG19" s="2790"/>
      <c r="AH19" s="1771">
        <f>-ROUND(SUM(X19)-SUM(AD19),1)</f>
        <v>-86.9</v>
      </c>
      <c r="AI19" s="2792"/>
      <c r="AJ19" s="1811">
        <f>-ROUND(AH19/AD19,3)</f>
        <v>-8.5000000000000006E-2</v>
      </c>
      <c r="AK19" s="1811"/>
      <c r="AL19" s="2785"/>
    </row>
    <row r="20" spans="1:38" s="2786" customFormat="1" ht="18" customHeight="1">
      <c r="A20" s="2787" t="s">
        <v>817</v>
      </c>
      <c r="B20" s="2778" t="s">
        <v>14</v>
      </c>
      <c r="C20" s="2778"/>
      <c r="D20" s="612">
        <f>'Exhibit F'!V21</f>
        <v>145.10000000000008</v>
      </c>
      <c r="E20" s="612"/>
      <c r="F20" s="612">
        <f>'Exhibit F'!AC21</f>
        <v>1167.4000000000001</v>
      </c>
      <c r="G20" s="612"/>
      <c r="H20" s="1769">
        <v>0</v>
      </c>
      <c r="I20" s="1771"/>
      <c r="J20" s="1770">
        <v>0</v>
      </c>
      <c r="K20" s="612"/>
      <c r="L20" s="1769">
        <v>0</v>
      </c>
      <c r="M20" s="1771"/>
      <c r="N20" s="1770">
        <v>0</v>
      </c>
      <c r="O20" s="612"/>
      <c r="P20" s="1769">
        <v>0</v>
      </c>
      <c r="Q20" s="1771"/>
      <c r="R20" s="1770">
        <v>0</v>
      </c>
      <c r="S20" s="612"/>
      <c r="T20" s="2789"/>
      <c r="U20" s="2789"/>
      <c r="V20" s="1771">
        <f t="shared" si="0"/>
        <v>145.10000000000008</v>
      </c>
      <c r="W20" s="1406"/>
      <c r="X20" s="1771">
        <f t="shared" si="1"/>
        <v>1167.4000000000001</v>
      </c>
      <c r="Y20" s="2790"/>
      <c r="Z20" s="2791"/>
      <c r="AA20" s="1406"/>
      <c r="AB20" s="1768">
        <v>116.1</v>
      </c>
      <c r="AC20" s="612"/>
      <c r="AD20" s="1771">
        <f>'Cashflow Governmental'!AE25</f>
        <v>966.1</v>
      </c>
      <c r="AE20" s="1771"/>
      <c r="AF20" s="3472"/>
      <c r="AG20" s="2790"/>
      <c r="AH20" s="1771">
        <f>ROUND(SUM(X20)-SUM(AD20),1)</f>
        <v>201.3</v>
      </c>
      <c r="AI20" s="2792"/>
      <c r="AJ20" s="3448">
        <f>ROUND(AH20/AD20,3)</f>
        <v>0.20799999999999999</v>
      </c>
      <c r="AK20" s="1811"/>
      <c r="AL20" s="2785"/>
    </row>
    <row r="21" spans="1:38" s="2801" customFormat="1" ht="18" customHeight="1">
      <c r="A21" s="2793" t="s">
        <v>818</v>
      </c>
      <c r="B21" s="2793"/>
      <c r="C21" s="2793"/>
      <c r="D21" s="1779">
        <f>ROUND(SUM(D16:D20),1)</f>
        <v>10534.5</v>
      </c>
      <c r="E21" s="1462"/>
      <c r="F21" s="1779">
        <f>ROUND(SUM(F16:F20),1)</f>
        <v>66119.8</v>
      </c>
      <c r="G21" s="20"/>
      <c r="H21" s="1779">
        <f>ROUND(SUM(H16:H20),1)</f>
        <v>0</v>
      </c>
      <c r="I21" s="2794"/>
      <c r="J21" s="1779">
        <f>ROUND(SUM(J16:J20),1)</f>
        <v>0</v>
      </c>
      <c r="K21" s="20"/>
      <c r="L21" s="1779">
        <f>ROUND(SUM(L16:L20),1)</f>
        <v>0</v>
      </c>
      <c r="M21" s="2794"/>
      <c r="N21" s="1779">
        <f>ROUND(SUM(N16:N20),1)</f>
        <v>0</v>
      </c>
      <c r="O21" s="20"/>
      <c r="P21" s="1779">
        <f>ROUND(SUM(P16:P20),1)</f>
        <v>0</v>
      </c>
      <c r="Q21" s="2794"/>
      <c r="R21" s="1779">
        <f>ROUND(SUM(R16:R20),1)</f>
        <v>0</v>
      </c>
      <c r="S21" s="20"/>
      <c r="T21" s="2795"/>
      <c r="U21" s="2795"/>
      <c r="V21" s="2796">
        <f>ROUND(SUM(V16:V20),1)</f>
        <v>10534.5</v>
      </c>
      <c r="W21" s="1462"/>
      <c r="X21" s="2796">
        <f>ROUND(SUM(X16:X20),1)</f>
        <v>66119.8</v>
      </c>
      <c r="Y21" s="2797"/>
      <c r="Z21" s="2284"/>
      <c r="AA21" s="1462"/>
      <c r="AB21" s="1444">
        <f>ROUND(SUM(AB16:AB20),1)</f>
        <v>9571.7999999999993</v>
      </c>
      <c r="AC21" s="20"/>
      <c r="AD21" s="3773">
        <f>ROUND(SUM(AD16:AD20),1)</f>
        <v>53235.6</v>
      </c>
      <c r="AE21" s="2794"/>
      <c r="AF21" s="3472"/>
      <c r="AG21" s="2797"/>
      <c r="AH21" s="3492">
        <f>ROUND(SUM(X21)-SUM(AD21),1)</f>
        <v>12884.2</v>
      </c>
      <c r="AI21" s="2798"/>
      <c r="AJ21" s="3449">
        <f>ROUND(AH21/AD21,3)</f>
        <v>0.24199999999999999</v>
      </c>
      <c r="AK21" s="2799"/>
      <c r="AL21" s="2800"/>
    </row>
    <row r="22" spans="1:38" s="2786" customFormat="1" ht="18" customHeight="1">
      <c r="A22" s="2787" t="s">
        <v>819</v>
      </c>
      <c r="B22" s="2778"/>
      <c r="C22" s="2778"/>
      <c r="D22" s="1768">
        <f>'Exhibit F'!V23</f>
        <v>-1850</v>
      </c>
      <c r="E22" s="1771"/>
      <c r="F22" s="1768">
        <f>'Exhibit F'!AC23</f>
        <v>-1866.1</v>
      </c>
      <c r="G22" s="612"/>
      <c r="H22" s="612">
        <f>'Exhibit G'!V17</f>
        <v>1850</v>
      </c>
      <c r="I22" s="1771"/>
      <c r="J22" s="1784">
        <f>'Exhibit G'!AD17</f>
        <v>1866.1</v>
      </c>
      <c r="K22" s="612"/>
      <c r="L22" s="1780">
        <v>0</v>
      </c>
      <c r="M22" s="1771"/>
      <c r="N22" s="1780">
        <v>0</v>
      </c>
      <c r="O22" s="612"/>
      <c r="P22" s="1780">
        <v>0</v>
      </c>
      <c r="Q22" s="1771"/>
      <c r="R22" s="1780">
        <v>0</v>
      </c>
      <c r="S22" s="612"/>
      <c r="T22" s="2789"/>
      <c r="U22" s="2789"/>
      <c r="V22" s="2802">
        <f>SUM(D22)+SUM(H22)+SUM(L22)+SUM(P22)</f>
        <v>0</v>
      </c>
      <c r="W22" s="1406"/>
      <c r="X22" s="2802">
        <f t="shared" si="1"/>
        <v>0</v>
      </c>
      <c r="Y22" s="2790"/>
      <c r="Z22" s="2791"/>
      <c r="AA22" s="1406"/>
      <c r="AB22" s="1768">
        <v>0</v>
      </c>
      <c r="AC22" s="1406"/>
      <c r="AD22" s="1771">
        <f>'Cashflow Governmental'!AE27</f>
        <v>0</v>
      </c>
      <c r="AE22" s="1769"/>
      <c r="AF22" s="3472"/>
      <c r="AG22" s="2790"/>
      <c r="AH22" s="1770">
        <f>ROUND(SUM(X22)-SUM(AD22),1)</f>
        <v>0</v>
      </c>
      <c r="AI22" s="2792"/>
      <c r="AJ22" s="1703">
        <f>ROUND(IF(AD22=0,0,AH22/(AD22)),3)</f>
        <v>0</v>
      </c>
      <c r="AK22" s="2803"/>
      <c r="AL22" s="2785"/>
    </row>
    <row r="23" spans="1:38" s="2786" customFormat="1" ht="18" customHeight="1">
      <c r="A23" s="2787" t="s">
        <v>820</v>
      </c>
      <c r="B23" s="2778"/>
      <c r="C23" s="2778"/>
      <c r="D23" s="1768">
        <f>'Exhibit F'!V24</f>
        <v>-5216.5</v>
      </c>
      <c r="E23" s="612"/>
      <c r="F23" s="1768">
        <f>'Exhibit F'!AC24</f>
        <v>-29736</v>
      </c>
      <c r="G23" s="612"/>
      <c r="H23" s="1769">
        <v>0</v>
      </c>
      <c r="I23" s="1771"/>
      <c r="J23" s="1770">
        <v>0</v>
      </c>
      <c r="K23" s="612"/>
      <c r="L23" s="1771">
        <f>'Exhibit H'!T16</f>
        <v>5216.4999999999982</v>
      </c>
      <c r="M23" s="1771"/>
      <c r="N23" s="1771">
        <f>'Exhibit H'!AA16</f>
        <v>29736</v>
      </c>
      <c r="O23" s="612"/>
      <c r="P23" s="1769">
        <v>0</v>
      </c>
      <c r="Q23" s="1771"/>
      <c r="R23" s="1770">
        <v>0</v>
      </c>
      <c r="S23" s="612"/>
      <c r="T23" s="2789"/>
      <c r="U23" s="2789"/>
      <c r="V23" s="1771">
        <f>ROUND(SUM(D23)+SUM(H23)+SUM(L23)+SUM(P23),1)</f>
        <v>0</v>
      </c>
      <c r="W23" s="1406"/>
      <c r="X23" s="1771">
        <f t="shared" si="1"/>
        <v>0</v>
      </c>
      <c r="Y23" s="2790"/>
      <c r="Z23" s="2791"/>
      <c r="AA23" s="1406"/>
      <c r="AB23" s="1768">
        <v>0</v>
      </c>
      <c r="AC23" s="1406"/>
      <c r="AD23" s="1771">
        <f>'Cashflow Governmental'!AE28</f>
        <v>0</v>
      </c>
      <c r="AE23" s="1769"/>
      <c r="AF23" s="3472"/>
      <c r="AG23" s="2790"/>
      <c r="AH23" s="1770">
        <f>ROUND(SUM(X23)-SUM(AD23),1)</f>
        <v>0</v>
      </c>
      <c r="AI23" s="2792"/>
      <c r="AJ23" s="1703">
        <f>ROUND(IF(AD23=0,0,AH23/(AD23)),3)</f>
        <v>0</v>
      </c>
      <c r="AK23" s="2803"/>
      <c r="AL23" s="2785"/>
    </row>
    <row r="24" spans="1:38" s="2786" customFormat="1" ht="18" customHeight="1">
      <c r="A24" s="2778" t="s">
        <v>821</v>
      </c>
      <c r="B24" s="2778"/>
      <c r="C24" s="2778"/>
      <c r="D24" s="1768">
        <f>'Exhibit F'!V25</f>
        <v>-101.5</v>
      </c>
      <c r="E24" s="1406"/>
      <c r="F24" s="1768">
        <f>'Exhibit F'!AC25</f>
        <v>-6647.7999999999993</v>
      </c>
      <c r="G24" s="612"/>
      <c r="H24" s="1769">
        <v>0</v>
      </c>
      <c r="I24" s="1771"/>
      <c r="J24" s="1770">
        <v>0</v>
      </c>
      <c r="K24" s="612"/>
      <c r="L24" s="1769">
        <v>0</v>
      </c>
      <c r="M24" s="1771"/>
      <c r="N24" s="1770">
        <v>0</v>
      </c>
      <c r="O24" s="612"/>
      <c r="P24" s="1769">
        <v>0</v>
      </c>
      <c r="Q24" s="1771"/>
      <c r="R24" s="1770">
        <v>0</v>
      </c>
      <c r="S24" s="612"/>
      <c r="T24" s="2789"/>
      <c r="U24" s="2789"/>
      <c r="V24" s="1771">
        <f>SUM(D24)+SUM(H24)+SUM(L24)+SUM(P24)</f>
        <v>-101.5</v>
      </c>
      <c r="W24" s="1406"/>
      <c r="X24" s="1771">
        <f t="shared" si="1"/>
        <v>-6647.7999999999993</v>
      </c>
      <c r="Y24" s="2790"/>
      <c r="Z24" s="2791"/>
      <c r="AA24" s="1406"/>
      <c r="AB24" s="1768">
        <v>-118.80000000000001</v>
      </c>
      <c r="AC24" s="612"/>
      <c r="AD24" s="1771">
        <f>'Cashflow Governmental'!AE29</f>
        <v>-6984.4</v>
      </c>
      <c r="AE24" s="1771"/>
      <c r="AF24" s="3472"/>
      <c r="AG24" s="2790"/>
      <c r="AH24" s="1771">
        <f>-ROUND(SUM(X24)-SUM(AD24),1)</f>
        <v>-336.6</v>
      </c>
      <c r="AI24" s="2792"/>
      <c r="AJ24" s="1812">
        <f>-ROUND(AH24/AD24,3)</f>
        <v>-4.8000000000000001E-2</v>
      </c>
      <c r="AK24" s="1811"/>
      <c r="AL24" s="2785"/>
    </row>
    <row r="25" spans="1:38" s="2786" customFormat="1" ht="18" customHeight="1">
      <c r="A25" s="2804" t="s">
        <v>822</v>
      </c>
      <c r="B25" s="2778"/>
      <c r="C25" s="2778"/>
      <c r="D25" s="1781">
        <f>ROUND(SUM(D21:D24),1)</f>
        <v>3366.5</v>
      </c>
      <c r="E25" s="1462"/>
      <c r="F25" s="1781">
        <f>ROUND(SUM(F21:F24),1)</f>
        <v>27869.9</v>
      </c>
      <c r="G25" s="20"/>
      <c r="H25" s="1781">
        <f>ROUND(SUM(H21:H24),1)</f>
        <v>1850</v>
      </c>
      <c r="I25" s="2794"/>
      <c r="J25" s="1781">
        <f>ROUND(SUM(J21:J24),1)</f>
        <v>1866.1</v>
      </c>
      <c r="K25" s="20"/>
      <c r="L25" s="1781">
        <f>ROUND(SUM(L21:L24),1)</f>
        <v>5216.5</v>
      </c>
      <c r="M25" s="2794"/>
      <c r="N25" s="1781">
        <f>ROUND(SUM(N21:N24),1)</f>
        <v>29736</v>
      </c>
      <c r="O25" s="20"/>
      <c r="P25" s="1781">
        <f>ROUND(SUM(P21:P24),1)</f>
        <v>0</v>
      </c>
      <c r="Q25" s="2794"/>
      <c r="R25" s="1781">
        <f>ROUND(SUM(R21:R24),1)</f>
        <v>0</v>
      </c>
      <c r="S25" s="20"/>
      <c r="T25" s="2795"/>
      <c r="U25" s="2795"/>
      <c r="V25" s="2796">
        <f>ROUND(SUM(V21:V24),1)</f>
        <v>10433</v>
      </c>
      <c r="W25" s="1462"/>
      <c r="X25" s="2796">
        <f>ROUND(SUM(X21:X24),1)</f>
        <v>59472</v>
      </c>
      <c r="Y25" s="2805"/>
      <c r="Z25" s="2284"/>
      <c r="AA25" s="1462"/>
      <c r="AB25" s="3427">
        <f>ROUND(SUM(AB21:AB24),1)</f>
        <v>9453</v>
      </c>
      <c r="AC25" s="20"/>
      <c r="AD25" s="2796">
        <f>ROUND(SUM(AD21:AD24),1)</f>
        <v>46251.199999999997</v>
      </c>
      <c r="AE25" s="1462" t="s">
        <v>14</v>
      </c>
      <c r="AF25" s="3472"/>
      <c r="AG25" s="2797"/>
      <c r="AH25" s="1813">
        <f>ROUND(SUM(X25)-SUM(AD25),1)</f>
        <v>13220.8</v>
      </c>
      <c r="AI25" s="2798"/>
      <c r="AJ25" s="1814">
        <f>ROUND(AH25/AD25,3)</f>
        <v>0.28599999999999998</v>
      </c>
      <c r="AK25" s="2799"/>
      <c r="AL25" s="2800"/>
    </row>
    <row r="26" spans="1:38" ht="18" customHeight="1">
      <c r="A26" s="2777"/>
      <c r="B26" s="2777"/>
      <c r="C26" s="2777"/>
      <c r="D26" s="1495"/>
      <c r="E26" s="609"/>
      <c r="F26" s="1782" t="s">
        <v>14</v>
      </c>
      <c r="G26" s="612"/>
      <c r="H26" s="1782"/>
      <c r="I26" s="1406"/>
      <c r="J26" s="1782" t="s">
        <v>1163</v>
      </c>
      <c r="K26" s="612"/>
      <c r="L26" s="1782" t="s">
        <v>14</v>
      </c>
      <c r="M26" s="1406"/>
      <c r="N26" s="1782" t="s">
        <v>14</v>
      </c>
      <c r="O26" s="612"/>
      <c r="P26" s="1782"/>
      <c r="Q26" s="1406"/>
      <c r="R26" s="1782"/>
      <c r="S26" s="612"/>
      <c r="T26" s="2789"/>
      <c r="U26" s="2789"/>
      <c r="V26" s="1782"/>
      <c r="W26" s="1406"/>
      <c r="X26" s="1782"/>
      <c r="Y26" s="1406"/>
      <c r="Z26" s="2791"/>
      <c r="AA26" s="1406"/>
      <c r="AB26" s="1782"/>
      <c r="AC26" s="612"/>
      <c r="AD26" s="1782"/>
      <c r="AE26" s="1406"/>
      <c r="AF26" s="3472"/>
      <c r="AG26" s="1406"/>
      <c r="AH26" s="1406"/>
      <c r="AI26" s="606"/>
      <c r="AJ26" s="2806"/>
      <c r="AK26" s="2807"/>
      <c r="AL26" s="2761"/>
    </row>
    <row r="27" spans="1:38" ht="18" customHeight="1">
      <c r="A27" s="2808" t="s">
        <v>1078</v>
      </c>
      <c r="B27" s="2777"/>
      <c r="C27" s="2809"/>
      <c r="D27" s="3819"/>
      <c r="E27" s="608"/>
      <c r="F27" s="612"/>
      <c r="G27" s="612"/>
      <c r="H27" s="612"/>
      <c r="I27" s="612"/>
      <c r="J27" s="612"/>
      <c r="K27" s="612"/>
      <c r="L27" s="612"/>
      <c r="M27" s="612"/>
      <c r="N27" s="612"/>
      <c r="O27" s="612"/>
      <c r="P27" s="612"/>
      <c r="Q27" s="612"/>
      <c r="R27" s="612"/>
      <c r="S27" s="612"/>
      <c r="T27" s="2789"/>
      <c r="U27" s="2789"/>
      <c r="V27" s="1406"/>
      <c r="W27" s="1406"/>
      <c r="X27" s="612"/>
      <c r="Y27" s="612"/>
      <c r="Z27" s="2791"/>
      <c r="AA27" s="1406"/>
      <c r="AB27" s="612"/>
      <c r="AC27" s="612"/>
      <c r="AD27" s="612"/>
      <c r="AE27" s="612"/>
      <c r="AF27" s="3472"/>
      <c r="AG27" s="612"/>
      <c r="AH27" s="612"/>
      <c r="AI27" s="2236"/>
      <c r="AJ27" s="2806"/>
      <c r="AK27" s="2807"/>
      <c r="AL27" s="2761"/>
    </row>
    <row r="28" spans="1:38" s="2786" customFormat="1" ht="18" customHeight="1">
      <c r="A28" s="2778" t="s">
        <v>823</v>
      </c>
      <c r="B28" s="2778"/>
      <c r="C28" s="2778"/>
      <c r="D28" s="612">
        <f>'Exhibit F'!V28</f>
        <v>346.99999999999983</v>
      </c>
      <c r="E28" s="612"/>
      <c r="F28" s="612">
        <f>'Exhibit F'!AC28</f>
        <v>3433.5</v>
      </c>
      <c r="G28" s="612"/>
      <c r="H28" s="612">
        <f>'Exhibit G'!V20</f>
        <v>96.999999999999986</v>
      </c>
      <c r="I28" s="612"/>
      <c r="J28" s="612">
        <f>'Exhibit G'!AD20</f>
        <v>955</v>
      </c>
      <c r="K28" s="612"/>
      <c r="L28" s="1771">
        <f>'Exhibit H'!T19</f>
        <v>1039.900000000001</v>
      </c>
      <c r="M28" s="1771"/>
      <c r="N28" s="1771">
        <f>'Exhibit H'!AA19</f>
        <v>10304.200000000001</v>
      </c>
      <c r="O28" s="612"/>
      <c r="P28" s="1769">
        <v>0</v>
      </c>
      <c r="Q28" s="1771"/>
      <c r="R28" s="1770">
        <v>0</v>
      </c>
      <c r="S28" s="612"/>
      <c r="T28" s="2789"/>
      <c r="U28" s="2789"/>
      <c r="V28" s="1771">
        <f t="shared" ref="V28:V33" si="2">SUM(D28)+SUM(H28)+SUM(L28)+SUM(P28)</f>
        <v>1483.9000000000008</v>
      </c>
      <c r="W28" s="1406"/>
      <c r="X28" s="1771">
        <f t="shared" ref="X28:X34" si="3">SUM(F28)+SUM(J28)+SUM(N28)+SUM(R28)</f>
        <v>14692.7</v>
      </c>
      <c r="Y28" s="612"/>
      <c r="Z28" s="2791"/>
      <c r="AA28" s="1406"/>
      <c r="AB28" s="1768">
        <v>1280.6999999999998</v>
      </c>
      <c r="AC28" s="612"/>
      <c r="AD28" s="1771">
        <f>'Cashflow Governmental'!AE32</f>
        <v>11777.5</v>
      </c>
      <c r="AE28" s="1771"/>
      <c r="AF28" s="3472"/>
      <c r="AG28" s="612"/>
      <c r="AH28" s="612">
        <f t="shared" ref="AH28:AH37" si="4">ROUND(SUM(X28)-SUM(AD28),1)</f>
        <v>2915.2</v>
      </c>
      <c r="AI28" s="2792"/>
      <c r="AJ28" s="1811">
        <f t="shared" ref="AJ28:AJ37" si="5">ROUND(AH28/AD28,3)</f>
        <v>0.248</v>
      </c>
      <c r="AK28" s="1811"/>
      <c r="AL28" s="2785"/>
    </row>
    <row r="29" spans="1:38" s="2786" customFormat="1" ht="18" customHeight="1">
      <c r="A29" s="2787" t="s">
        <v>824</v>
      </c>
      <c r="B29" s="2778"/>
      <c r="C29" s="2810"/>
      <c r="D29" s="612">
        <f>'Exhibit F'!V29</f>
        <v>0</v>
      </c>
      <c r="E29" s="1771"/>
      <c r="F29" s="612">
        <f>'Exhibit F'!AC29</f>
        <v>0</v>
      </c>
      <c r="G29" s="612"/>
      <c r="H29" s="612">
        <f>'Exhibit G'!V21</f>
        <v>0</v>
      </c>
      <c r="I29" s="1771"/>
      <c r="J29" s="612">
        <f>'Exhibit G'!AD21</f>
        <v>18.7</v>
      </c>
      <c r="K29" s="612"/>
      <c r="L29" s="1769">
        <v>0</v>
      </c>
      <c r="M29" s="1771"/>
      <c r="N29" s="1770">
        <v>0</v>
      </c>
      <c r="O29" s="612"/>
      <c r="P29" s="1768">
        <f>'Exhibit I'!W20</f>
        <v>0</v>
      </c>
      <c r="Q29" s="612"/>
      <c r="R29" s="1768">
        <f>'Exhibit I'!AF20</f>
        <v>68.3</v>
      </c>
      <c r="S29" s="612"/>
      <c r="T29" s="2789"/>
      <c r="U29" s="2789"/>
      <c r="V29" s="1771">
        <f t="shared" si="2"/>
        <v>0</v>
      </c>
      <c r="W29" s="1406"/>
      <c r="X29" s="1771">
        <f t="shared" si="3"/>
        <v>87</v>
      </c>
      <c r="Y29" s="2790"/>
      <c r="Z29" s="2791"/>
      <c r="AA29" s="1406"/>
      <c r="AB29" s="1768">
        <v>0</v>
      </c>
      <c r="AC29" s="612"/>
      <c r="AD29" s="1771">
        <f>'Cashflow Governmental'!AE33</f>
        <v>50.5</v>
      </c>
      <c r="AE29" s="1771"/>
      <c r="AF29" s="3472"/>
      <c r="AG29" s="2790"/>
      <c r="AH29" s="1771">
        <f t="shared" si="4"/>
        <v>36.5</v>
      </c>
      <c r="AI29" s="2811"/>
      <c r="AJ29" s="1811">
        <f t="shared" si="5"/>
        <v>0.72299999999999998</v>
      </c>
      <c r="AK29" s="1811"/>
      <c r="AL29" s="2785"/>
    </row>
    <row r="30" spans="1:38" ht="18" customHeight="1">
      <c r="A30" s="2777" t="s">
        <v>825</v>
      </c>
      <c r="B30" s="2777"/>
      <c r="C30" s="2777"/>
      <c r="D30" s="612">
        <f>'Exhibit F'!V30</f>
        <v>22.300000000000011</v>
      </c>
      <c r="E30" s="612"/>
      <c r="F30" s="612">
        <f>'Exhibit F'!AC30</f>
        <v>256.60000000000002</v>
      </c>
      <c r="G30" s="612"/>
      <c r="H30" s="612">
        <f>'Exhibit G'!V22</f>
        <v>46.199999999999832</v>
      </c>
      <c r="I30" s="1771"/>
      <c r="J30" s="612">
        <f>'Exhibit G'!AD22</f>
        <v>583.29999999999995</v>
      </c>
      <c r="K30" s="612"/>
      <c r="L30" s="1769">
        <v>0</v>
      </c>
      <c r="M30" s="1771"/>
      <c r="N30" s="1770">
        <v>0</v>
      </c>
      <c r="O30" s="612"/>
      <c r="P30" s="1769">
        <v>0</v>
      </c>
      <c r="Q30" s="1771"/>
      <c r="R30" s="1770">
        <v>0</v>
      </c>
      <c r="S30" s="612"/>
      <c r="T30" s="2789"/>
      <c r="U30" s="2789"/>
      <c r="V30" s="1771">
        <f t="shared" si="2"/>
        <v>68.499999999999844</v>
      </c>
      <c r="W30" s="1406"/>
      <c r="X30" s="1771">
        <f t="shared" si="3"/>
        <v>839.9</v>
      </c>
      <c r="Y30" s="2790"/>
      <c r="Z30" s="2791"/>
      <c r="AA30" s="1406"/>
      <c r="AB30" s="1768">
        <v>89.1</v>
      </c>
      <c r="AC30" s="612"/>
      <c r="AD30" s="1771">
        <f>'Cashflow Governmental'!AE34</f>
        <v>890.7</v>
      </c>
      <c r="AE30" s="1784"/>
      <c r="AF30" s="3473"/>
      <c r="AG30" s="2790"/>
      <c r="AH30" s="1771">
        <f t="shared" si="4"/>
        <v>-50.8</v>
      </c>
      <c r="AI30" s="2812"/>
      <c r="AJ30" s="1492">
        <f t="shared" si="5"/>
        <v>-5.7000000000000002E-2</v>
      </c>
      <c r="AK30" s="1492"/>
      <c r="AL30" s="2761"/>
    </row>
    <row r="31" spans="1:38" ht="18" customHeight="1">
      <c r="A31" s="2777" t="s">
        <v>1530</v>
      </c>
      <c r="B31" s="608"/>
      <c r="C31" s="2777"/>
      <c r="D31" s="612">
        <v>0</v>
      </c>
      <c r="E31" s="612"/>
      <c r="F31" s="612">
        <v>0</v>
      </c>
      <c r="G31" s="612"/>
      <c r="H31" s="612">
        <f>'Exhibit G'!V23</f>
        <v>1.0999999999999992</v>
      </c>
      <c r="I31" s="1771"/>
      <c r="J31" s="612">
        <f>'Exhibit G'!AD23</f>
        <v>11.1</v>
      </c>
      <c r="K31" s="612"/>
      <c r="L31" s="1769">
        <v>0</v>
      </c>
      <c r="M31" s="1771"/>
      <c r="N31" s="1770">
        <v>0</v>
      </c>
      <c r="O31" s="612"/>
      <c r="P31" s="1769">
        <v>0</v>
      </c>
      <c r="Q31" s="1771"/>
      <c r="R31" s="1770">
        <v>0</v>
      </c>
      <c r="S31" s="612"/>
      <c r="T31" s="2789"/>
      <c r="U31" s="2789"/>
      <c r="V31" s="1771">
        <f>SUM(D31)+SUM(H31)+SUM(L31)+SUM(P31)</f>
        <v>1.0999999999999992</v>
      </c>
      <c r="W31" s="1406"/>
      <c r="X31" s="1771">
        <f>SUM(F31)+SUM(J31)+SUM(N31)+SUM(R31)</f>
        <v>11.1</v>
      </c>
      <c r="Y31" s="2790"/>
      <c r="Z31" s="2791"/>
      <c r="AA31" s="1406"/>
      <c r="AB31" s="1768">
        <v>1</v>
      </c>
      <c r="AC31" s="612"/>
      <c r="AD31" s="1771">
        <f>'Cashflow Governmental'!AE35</f>
        <v>7.2</v>
      </c>
      <c r="AE31" s="1784"/>
      <c r="AF31" s="3473"/>
      <c r="AG31" s="2790"/>
      <c r="AH31" s="1771">
        <f>ROUND(SUM(X31)-SUM(AD31),1)</f>
        <v>3.9</v>
      </c>
      <c r="AI31" s="2812"/>
      <c r="AJ31" s="1422">
        <f>ROUND(IF(AD31=0,0,AH31/(AD31)),3)</f>
        <v>0.54200000000000004</v>
      </c>
      <c r="AK31" s="1492"/>
      <c r="AL31" s="2761"/>
    </row>
    <row r="32" spans="1:38" ht="18" customHeight="1">
      <c r="A32" s="2777" t="s">
        <v>826</v>
      </c>
      <c r="B32" s="2777"/>
      <c r="C32" s="2777"/>
      <c r="D32" s="612">
        <f>'Exhibit F'!V31</f>
        <v>0</v>
      </c>
      <c r="E32" s="1771"/>
      <c r="F32" s="612">
        <f>'Exhibit F'!AC31</f>
        <v>0</v>
      </c>
      <c r="G32" s="612"/>
      <c r="H32" s="612">
        <f>'Exhibit G'!V24</f>
        <v>6.5</v>
      </c>
      <c r="I32" s="1771"/>
      <c r="J32" s="612">
        <f>'Exhibit G'!AD24</f>
        <v>87.7</v>
      </c>
      <c r="K32" s="612"/>
      <c r="L32" s="1769">
        <v>0</v>
      </c>
      <c r="M32" s="1771"/>
      <c r="N32" s="1770">
        <v>0</v>
      </c>
      <c r="O32" s="612"/>
      <c r="P32" s="612">
        <f>'Exhibit I'!W21</f>
        <v>23.900000000000034</v>
      </c>
      <c r="Q32" s="1771"/>
      <c r="R32" s="612">
        <f>'Exhibit I'!AF21</f>
        <v>323.8</v>
      </c>
      <c r="S32" s="612"/>
      <c r="T32" s="2789"/>
      <c r="U32" s="2789"/>
      <c r="V32" s="1771">
        <f t="shared" si="2"/>
        <v>30.400000000000034</v>
      </c>
      <c r="W32" s="1406"/>
      <c r="X32" s="1771">
        <f t="shared" si="3"/>
        <v>411.5</v>
      </c>
      <c r="Y32" s="612"/>
      <c r="Z32" s="2791"/>
      <c r="AA32" s="1406"/>
      <c r="AB32" s="1768">
        <v>30</v>
      </c>
      <c r="AC32" s="612"/>
      <c r="AD32" s="1771">
        <f>'Cashflow Governmental'!AE36</f>
        <v>358.70000000000005</v>
      </c>
      <c r="AE32" s="1771"/>
      <c r="AF32" s="3473"/>
      <c r="AG32" s="612"/>
      <c r="AH32" s="1771">
        <f t="shared" si="4"/>
        <v>52.8</v>
      </c>
      <c r="AI32" s="2236"/>
      <c r="AJ32" s="1492">
        <f t="shared" si="5"/>
        <v>0.14699999999999999</v>
      </c>
      <c r="AK32" s="1492"/>
      <c r="AL32" s="2761"/>
    </row>
    <row r="33" spans="1:38" ht="18" customHeight="1">
      <c r="A33" s="2777" t="s">
        <v>827</v>
      </c>
      <c r="B33" s="2777"/>
      <c r="C33" s="2777"/>
      <c r="D33" s="612">
        <f>'Exhibit F'!V32</f>
        <v>30.5</v>
      </c>
      <c r="E33" s="612"/>
      <c r="F33" s="612">
        <f>'Exhibit F'!AC32</f>
        <v>245.3</v>
      </c>
      <c r="G33" s="612"/>
      <c r="H33" s="612">
        <f>'Exhibit G'!V25</f>
        <v>0</v>
      </c>
      <c r="I33" s="1771"/>
      <c r="J33" s="612">
        <f>'Exhibit G'!AD25</f>
        <v>0</v>
      </c>
      <c r="K33" s="612"/>
      <c r="L33" s="1769">
        <v>0</v>
      </c>
      <c r="M33" s="1771"/>
      <c r="N33" s="1770">
        <v>0</v>
      </c>
      <c r="O33" s="612"/>
      <c r="P33" s="1769">
        <v>0</v>
      </c>
      <c r="Q33" s="1771"/>
      <c r="R33" s="1770">
        <v>0</v>
      </c>
      <c r="S33" s="612"/>
      <c r="T33" s="2789"/>
      <c r="U33" s="2789"/>
      <c r="V33" s="1771">
        <f t="shared" si="2"/>
        <v>30.5</v>
      </c>
      <c r="W33" s="1406"/>
      <c r="X33" s="1771">
        <f t="shared" si="3"/>
        <v>245.3</v>
      </c>
      <c r="Y33" s="2790"/>
      <c r="Z33" s="2791"/>
      <c r="AA33" s="1406"/>
      <c r="AB33" s="1768">
        <v>29.9</v>
      </c>
      <c r="AC33" s="612"/>
      <c r="AD33" s="1771">
        <f>'Cashflow Governmental'!AE37</f>
        <v>238.4</v>
      </c>
      <c r="AE33" s="1771"/>
      <c r="AF33" s="3473"/>
      <c r="AG33" s="2790"/>
      <c r="AH33" s="1771">
        <f t="shared" si="4"/>
        <v>6.9</v>
      </c>
      <c r="AI33" s="2812"/>
      <c r="AJ33" s="1492">
        <f t="shared" si="5"/>
        <v>2.9000000000000001E-2</v>
      </c>
      <c r="AK33" s="1492"/>
      <c r="AL33" s="2761"/>
    </row>
    <row r="34" spans="1:38" ht="18" customHeight="1">
      <c r="A34" s="2777" t="s">
        <v>828</v>
      </c>
      <c r="B34" s="2777"/>
      <c r="C34" s="2777"/>
      <c r="D34" s="612">
        <f>'Exhibit F'!V33</f>
        <v>0</v>
      </c>
      <c r="E34" s="1771"/>
      <c r="F34" s="612">
        <f>'Exhibit F'!AC33</f>
        <v>0</v>
      </c>
      <c r="G34" s="612"/>
      <c r="H34" s="612">
        <f>'Exhibit G'!V26</f>
        <v>0.20000000000000007</v>
      </c>
      <c r="I34" s="1771"/>
      <c r="J34" s="612">
        <f>'Exhibit G'!AD26</f>
        <v>1.7</v>
      </c>
      <c r="K34" s="612"/>
      <c r="L34" s="1769">
        <v>0</v>
      </c>
      <c r="M34" s="1771"/>
      <c r="N34" s="1770">
        <v>0</v>
      </c>
      <c r="O34" s="612"/>
      <c r="P34" s="612">
        <f>'Exhibit I'!W22</f>
        <v>11.100000000000001</v>
      </c>
      <c r="Q34" s="1771"/>
      <c r="R34" s="612">
        <f>'Exhibit I'!AF22</f>
        <v>121.6</v>
      </c>
      <c r="S34" s="612"/>
      <c r="T34" s="2789"/>
      <c r="U34" s="2789"/>
      <c r="V34" s="1771">
        <f>SUM(D34)+SUM(H34)+SUM(L34)+SUM(P34)</f>
        <v>11.3</v>
      </c>
      <c r="W34" s="1406"/>
      <c r="X34" s="1771">
        <f t="shared" si="3"/>
        <v>123.3</v>
      </c>
      <c r="Y34" s="2790"/>
      <c r="Z34" s="2791"/>
      <c r="AA34" s="1406"/>
      <c r="AB34" s="1768">
        <v>11.6</v>
      </c>
      <c r="AC34" s="612"/>
      <c r="AD34" s="1771">
        <f>'Cashflow Governmental'!AE38</f>
        <v>114.7</v>
      </c>
      <c r="AE34" s="1784"/>
      <c r="AF34" s="3473"/>
      <c r="AG34" s="2790"/>
      <c r="AH34" s="1770">
        <f t="shared" si="4"/>
        <v>8.6</v>
      </c>
      <c r="AI34" s="2813"/>
      <c r="AJ34" s="1492">
        <f>ROUND(AH34/AD34,3)</f>
        <v>7.4999999999999997E-2</v>
      </c>
      <c r="AK34" s="1492"/>
      <c r="AL34" s="2761"/>
    </row>
    <row r="35" spans="1:38" ht="18" customHeight="1">
      <c r="A35" s="2777" t="s">
        <v>1327</v>
      </c>
      <c r="B35" s="2777"/>
      <c r="C35" s="2777"/>
      <c r="D35" s="612">
        <f>'Exhibit F'!V34</f>
        <v>0</v>
      </c>
      <c r="E35" s="1771"/>
      <c r="F35" s="612">
        <f>'Exhibit F'!AC34</f>
        <v>0</v>
      </c>
      <c r="G35" s="612"/>
      <c r="H35" s="612">
        <f>'Exhibit G'!V27</f>
        <v>9.9999999999997868E-2</v>
      </c>
      <c r="I35" s="1771"/>
      <c r="J35" s="612">
        <f>'Exhibit G'!AD27</f>
        <v>22.7</v>
      </c>
      <c r="K35" s="612"/>
      <c r="L35" s="1769">
        <v>0</v>
      </c>
      <c r="M35" s="1771"/>
      <c r="N35" s="1770">
        <v>0</v>
      </c>
      <c r="O35" s="612"/>
      <c r="P35" s="612">
        <v>0</v>
      </c>
      <c r="Q35" s="1771"/>
      <c r="R35" s="612">
        <v>0</v>
      </c>
      <c r="S35" s="612"/>
      <c r="T35" s="2789"/>
      <c r="U35" s="2789"/>
      <c r="V35" s="1771">
        <f>SUM(D35)+SUM(H35)+SUM(L35)+SUM(P35)</f>
        <v>9.9999999999997868E-2</v>
      </c>
      <c r="W35" s="1406"/>
      <c r="X35" s="1771">
        <f>SUM(F35)+SUM(J35)+SUM(N35)+SUM(R35)</f>
        <v>22.7</v>
      </c>
      <c r="Y35" s="2790"/>
      <c r="Z35" s="2791"/>
      <c r="AA35" s="1406"/>
      <c r="AB35" s="1768">
        <v>0</v>
      </c>
      <c r="AC35" s="612"/>
      <c r="AD35" s="1771">
        <f>'Cashflow Governmental'!AE39</f>
        <v>25.5</v>
      </c>
      <c r="AE35" s="1784"/>
      <c r="AF35" s="3473"/>
      <c r="AG35" s="2790"/>
      <c r="AH35" s="1770">
        <f>ROUND(SUM(X35)-SUM(AD35),1)</f>
        <v>-2.8</v>
      </c>
      <c r="AI35" s="2813"/>
      <c r="AJ35" s="1422">
        <f>ROUND(IF(AD35=0,1,AH35/(AD35)),3)</f>
        <v>-0.11</v>
      </c>
      <c r="AK35" s="1492"/>
      <c r="AL35" s="2761"/>
    </row>
    <row r="36" spans="1:38" ht="18" customHeight="1">
      <c r="A36" s="2777" t="s">
        <v>1328</v>
      </c>
      <c r="B36" s="2777"/>
      <c r="C36" s="2777"/>
      <c r="D36" s="612">
        <f>'Exhibit F'!V35</f>
        <v>9.0000000000000036</v>
      </c>
      <c r="E36" s="1771"/>
      <c r="F36" s="612">
        <f>'Exhibit F'!AC35</f>
        <v>28.5</v>
      </c>
      <c r="G36" s="612"/>
      <c r="H36" s="612">
        <v>0</v>
      </c>
      <c r="I36" s="1771"/>
      <c r="J36" s="612">
        <v>0</v>
      </c>
      <c r="K36" s="612"/>
      <c r="L36" s="1769">
        <v>0</v>
      </c>
      <c r="M36" s="1771"/>
      <c r="N36" s="1770">
        <v>0</v>
      </c>
      <c r="O36" s="612"/>
      <c r="P36" s="612">
        <v>0</v>
      </c>
      <c r="Q36" s="1771"/>
      <c r="R36" s="612">
        <v>0</v>
      </c>
      <c r="S36" s="612"/>
      <c r="T36" s="2789"/>
      <c r="U36" s="2789"/>
      <c r="V36" s="1771">
        <f>SUM(D36)+SUM(H36)+SUM(L36)+SUM(P36)</f>
        <v>9.0000000000000036</v>
      </c>
      <c r="W36" s="1406"/>
      <c r="X36" s="1771">
        <f t="shared" ref="X36" si="6">SUM(F36)+SUM(J36)+SUM(N36)+SUM(R36)</f>
        <v>28.5</v>
      </c>
      <c r="Y36" s="2790"/>
      <c r="Z36" s="2791"/>
      <c r="AA36" s="1406"/>
      <c r="AB36" s="1768">
        <v>7.1</v>
      </c>
      <c r="AC36" s="612"/>
      <c r="AD36" s="1771">
        <f>'Cashflow Governmental'!AE40</f>
        <v>29.9</v>
      </c>
      <c r="AE36" s="1784"/>
      <c r="AF36" s="3473"/>
      <c r="AG36" s="2790"/>
      <c r="AH36" s="1770">
        <f t="shared" ref="AH36" si="7">ROUND(SUM(X36)-SUM(AD36),1)</f>
        <v>-1.4</v>
      </c>
      <c r="AI36" s="2813"/>
      <c r="AJ36" s="1422">
        <f>ROUND(IF(AD36=0,1,AH36/(AD36)),3)</f>
        <v>-4.7E-2</v>
      </c>
      <c r="AK36" s="1492"/>
      <c r="AL36" s="2761"/>
    </row>
    <row r="37" spans="1:38" ht="18" customHeight="1">
      <c r="A37" s="2776" t="s">
        <v>829</v>
      </c>
      <c r="B37" s="2777"/>
      <c r="C37" s="2777"/>
      <c r="D37" s="1493">
        <f>ROUND(SUM(D28:D36),1)</f>
        <v>408.8</v>
      </c>
      <c r="E37" s="2258"/>
      <c r="F37" s="1781">
        <f>ROUND(SUM(F28:F36),1)</f>
        <v>3963.9</v>
      </c>
      <c r="G37" s="20"/>
      <c r="H37" s="1781">
        <f>ROUND(SUM(H28:H36),1)</f>
        <v>151.1</v>
      </c>
      <c r="I37" s="1462"/>
      <c r="J37" s="1781">
        <f>ROUND(SUM(J28:J36),1)</f>
        <v>1680.2</v>
      </c>
      <c r="K37" s="20"/>
      <c r="L37" s="1781">
        <f>ROUND(SUM(L28:L36),1)</f>
        <v>1039.9000000000001</v>
      </c>
      <c r="M37" s="1462"/>
      <c r="N37" s="1781">
        <f>ROUND(SUM(N28:N36),1)</f>
        <v>10304.200000000001</v>
      </c>
      <c r="O37" s="20"/>
      <c r="P37" s="1781">
        <f>ROUND(SUM(P28:P36),1)</f>
        <v>35</v>
      </c>
      <c r="Q37" s="1462"/>
      <c r="R37" s="1781">
        <f>ROUND(SUM(R28:R36),1)</f>
        <v>513.70000000000005</v>
      </c>
      <c r="S37" s="20"/>
      <c r="T37" s="2795"/>
      <c r="U37" s="2795"/>
      <c r="V37" s="1781">
        <f>ROUND(SUM(V28:V36),1)</f>
        <v>1634.8</v>
      </c>
      <c r="W37" s="1462"/>
      <c r="X37" s="1781">
        <f>ROUND(SUM(X28:X36),1)</f>
        <v>16462</v>
      </c>
      <c r="Y37" s="3709"/>
      <c r="Z37" s="2284"/>
      <c r="AA37" s="1462"/>
      <c r="AB37" s="1781">
        <f>ROUND(SUM(AB28:AB36),1)</f>
        <v>1449.4</v>
      </c>
      <c r="AC37" s="20"/>
      <c r="AD37" s="1781">
        <f>ROUND(SUM(AD28:AD36),1)</f>
        <v>13493.1</v>
      </c>
      <c r="AE37" s="1462"/>
      <c r="AF37" s="3474"/>
      <c r="AG37" s="1462"/>
      <c r="AH37" s="1813">
        <f t="shared" si="4"/>
        <v>2968.9</v>
      </c>
      <c r="AI37" s="2230"/>
      <c r="AJ37" s="1494">
        <f t="shared" si="5"/>
        <v>0.22</v>
      </c>
      <c r="AK37" s="2814"/>
      <c r="AL37" s="2815"/>
    </row>
    <row r="38" spans="1:38" ht="18" customHeight="1">
      <c r="A38" s="2777"/>
      <c r="B38" s="2777"/>
      <c r="C38" s="2777"/>
      <c r="D38" s="1495"/>
      <c r="E38" s="609"/>
      <c r="F38" s="1782"/>
      <c r="G38" s="612"/>
      <c r="H38" s="1782"/>
      <c r="I38" s="1406"/>
      <c r="J38" s="1782"/>
      <c r="K38" s="612"/>
      <c r="L38" s="1782"/>
      <c r="M38" s="1406"/>
      <c r="N38" s="1782"/>
      <c r="O38" s="612"/>
      <c r="P38" s="1782"/>
      <c r="Q38" s="1406"/>
      <c r="R38" s="1782"/>
      <c r="S38" s="612"/>
      <c r="T38" s="2789"/>
      <c r="U38" s="2789"/>
      <c r="V38" s="1782"/>
      <c r="W38" s="1406"/>
      <c r="X38" s="1782"/>
      <c r="Y38" s="1406"/>
      <c r="Z38" s="2791"/>
      <c r="AA38" s="1406"/>
      <c r="AB38" s="1782"/>
      <c r="AC38" s="612"/>
      <c r="AD38" s="1782"/>
      <c r="AE38" s="1406"/>
      <c r="AF38" s="3473"/>
      <c r="AG38" s="1406"/>
      <c r="AH38" s="1406"/>
      <c r="AI38" s="606"/>
      <c r="AJ38" s="2806"/>
      <c r="AK38" s="2807"/>
      <c r="AL38" s="2761"/>
    </row>
    <row r="39" spans="1:38" ht="18" customHeight="1">
      <c r="A39" s="2776" t="s">
        <v>1079</v>
      </c>
      <c r="B39" s="2777"/>
      <c r="C39" s="2777"/>
      <c r="D39" s="608"/>
      <c r="E39" s="608"/>
      <c r="F39" s="612"/>
      <c r="G39" s="612"/>
      <c r="H39" s="612"/>
      <c r="I39" s="612"/>
      <c r="J39" s="612"/>
      <c r="K39" s="612"/>
      <c r="L39" s="612"/>
      <c r="M39" s="612"/>
      <c r="N39" s="612"/>
      <c r="O39" s="612"/>
      <c r="P39" s="612"/>
      <c r="Q39" s="612"/>
      <c r="R39" s="612"/>
      <c r="S39" s="612"/>
      <c r="T39" s="2789"/>
      <c r="U39" s="2789"/>
      <c r="V39" s="1406"/>
      <c r="W39" s="1406"/>
      <c r="X39" s="612"/>
      <c r="Y39" s="612"/>
      <c r="Z39" s="2791"/>
      <c r="AA39" s="1406"/>
      <c r="AB39" s="3428"/>
      <c r="AC39" s="612"/>
      <c r="AD39" s="3428"/>
      <c r="AE39" s="612"/>
      <c r="AF39" s="3473"/>
      <c r="AG39" s="612"/>
      <c r="AH39" s="612"/>
      <c r="AI39" s="2236"/>
      <c r="AJ39" s="1492"/>
      <c r="AK39" s="2807"/>
      <c r="AL39" s="2761"/>
    </row>
    <row r="40" spans="1:38" ht="18" customHeight="1">
      <c r="A40" s="2777" t="s">
        <v>830</v>
      </c>
      <c r="B40" s="2777"/>
      <c r="C40" s="2777"/>
      <c r="D40" s="612">
        <f>'Exhibit F'!V38</f>
        <v>186.00000000000023</v>
      </c>
      <c r="E40" s="612"/>
      <c r="F40" s="612">
        <f>'Exhibit F'!AC38</f>
        <v>4544.3</v>
      </c>
      <c r="G40" s="612"/>
      <c r="H40" s="612">
        <f>'Exhibit G'!V30</f>
        <v>40.200000000000045</v>
      </c>
      <c r="I40" s="612"/>
      <c r="J40" s="612">
        <f>'Exhibit G'!AD30</f>
        <v>1146.3</v>
      </c>
      <c r="K40" s="612"/>
      <c r="L40" s="1769">
        <v>0</v>
      </c>
      <c r="M40" s="1771"/>
      <c r="N40" s="1770">
        <v>0</v>
      </c>
      <c r="O40" s="612"/>
      <c r="P40" s="1769">
        <f>'Exhibit I'!W25</f>
        <v>0</v>
      </c>
      <c r="Q40" s="1771"/>
      <c r="R40" s="1769">
        <f>'Exhibit I'!AF25</f>
        <v>0</v>
      </c>
      <c r="S40" s="612"/>
      <c r="T40" s="2789"/>
      <c r="U40" s="2789"/>
      <c r="V40" s="1771">
        <f t="shared" ref="V40:V45" si="8">SUM(D40)+SUM(H40)+SUM(L40)+SUM(P40)</f>
        <v>226.20000000000027</v>
      </c>
      <c r="W40" s="1406"/>
      <c r="X40" s="1771">
        <f t="shared" ref="X40:X45" si="9">SUM(F40)+SUM(J40)+SUM(N40)+SUM(R40)</f>
        <v>5690.6</v>
      </c>
      <c r="Y40" s="612"/>
      <c r="Z40" s="2791"/>
      <c r="AA40" s="1406"/>
      <c r="AB40" s="1768">
        <v>46</v>
      </c>
      <c r="AC40" s="612"/>
      <c r="AD40" s="1784">
        <f>'Cashflow Governmental'!AE43</f>
        <v>3601</v>
      </c>
      <c r="AE40" s="1771"/>
      <c r="AF40" s="3473"/>
      <c r="AG40" s="612"/>
      <c r="AH40" s="1771">
        <f t="shared" ref="AH40:AH46" si="10">ROUND(SUM(X40)-SUM(AD40),1)</f>
        <v>2089.6</v>
      </c>
      <c r="AI40" s="2812"/>
      <c r="AJ40" s="1492">
        <f t="shared" ref="AJ40:AJ46" si="11">ROUND(AH40/AD40,3)</f>
        <v>0.57999999999999996</v>
      </c>
      <c r="AK40" s="1492"/>
      <c r="AL40" s="2761"/>
    </row>
    <row r="41" spans="1:38" ht="18" customHeight="1">
      <c r="A41" s="2777" t="s">
        <v>831</v>
      </c>
      <c r="B41" s="2777"/>
      <c r="C41" s="2777"/>
      <c r="D41" s="612">
        <f>'Exhibit F'!V39</f>
        <v>-0.40000000000003411</v>
      </c>
      <c r="E41" s="612"/>
      <c r="F41" s="612">
        <f>'Exhibit F'!AC39</f>
        <v>258.39999999999998</v>
      </c>
      <c r="G41" s="612"/>
      <c r="H41" s="612">
        <f>'Exhibit G'!V31</f>
        <v>-0.5</v>
      </c>
      <c r="I41" s="612"/>
      <c r="J41" s="1785">
        <f>'Exhibit G'!AD31</f>
        <v>68.599999999999994</v>
      </c>
      <c r="K41" s="612"/>
      <c r="L41" s="1769">
        <v>0</v>
      </c>
      <c r="M41" s="1771"/>
      <c r="N41" s="1770">
        <v>0</v>
      </c>
      <c r="O41" s="612"/>
      <c r="P41" s="612">
        <f>'Exhibit I'!W26</f>
        <v>-0.10000000000000053</v>
      </c>
      <c r="Q41" s="1771"/>
      <c r="R41" s="612">
        <f>'Exhibit I'!AF26</f>
        <v>5.8</v>
      </c>
      <c r="S41" s="612"/>
      <c r="T41" s="2789"/>
      <c r="U41" s="2789"/>
      <c r="V41" s="1771">
        <f t="shared" si="8"/>
        <v>-1.0000000000000346</v>
      </c>
      <c r="W41" s="1406"/>
      <c r="X41" s="1771">
        <f t="shared" si="9"/>
        <v>332.8</v>
      </c>
      <c r="Y41" s="612"/>
      <c r="Z41" s="2791"/>
      <c r="AA41" s="1406"/>
      <c r="AB41" s="1768">
        <v>10</v>
      </c>
      <c r="AC41" s="612"/>
      <c r="AD41" s="1784">
        <f>'Cashflow Governmental'!AE44</f>
        <v>364.1</v>
      </c>
      <c r="AE41" s="1771"/>
      <c r="AF41" s="3473"/>
      <c r="AG41" s="612"/>
      <c r="AH41" s="1771">
        <f t="shared" si="10"/>
        <v>-31.3</v>
      </c>
      <c r="AI41" s="2812"/>
      <c r="AJ41" s="3830">
        <f t="shared" si="11"/>
        <v>-8.5999999999999993E-2</v>
      </c>
      <c r="AK41" s="1492"/>
      <c r="AL41" s="2761"/>
    </row>
    <row r="42" spans="1:38" ht="18" customHeight="1">
      <c r="A42" s="2777" t="s">
        <v>832</v>
      </c>
      <c r="B42" s="2777"/>
      <c r="C42" s="2777"/>
      <c r="D42" s="612">
        <f>'Exhibit F'!V40</f>
        <v>19.000000000000057</v>
      </c>
      <c r="E42" s="612"/>
      <c r="F42" s="612">
        <f>'Exhibit F'!AC40</f>
        <v>1371.9</v>
      </c>
      <c r="G42" s="612"/>
      <c r="H42" s="612">
        <f>'Exhibit G'!V32</f>
        <v>-1.7000000000000171</v>
      </c>
      <c r="I42" s="612"/>
      <c r="J42" s="612">
        <f>'Exhibit G'!AD32</f>
        <v>156.30000000000001</v>
      </c>
      <c r="K42" s="612"/>
      <c r="L42" s="1769">
        <v>0</v>
      </c>
      <c r="M42" s="1771"/>
      <c r="N42" s="1770">
        <v>0</v>
      </c>
      <c r="O42" s="612"/>
      <c r="P42" s="1769">
        <v>0</v>
      </c>
      <c r="Q42" s="1771"/>
      <c r="R42" s="1769">
        <v>0</v>
      </c>
      <c r="S42" s="612"/>
      <c r="T42" s="2789"/>
      <c r="U42" s="2789"/>
      <c r="V42" s="1771">
        <f t="shared" si="8"/>
        <v>17.30000000000004</v>
      </c>
      <c r="W42" s="1406"/>
      <c r="X42" s="1771">
        <f t="shared" si="9"/>
        <v>1528.2</v>
      </c>
      <c r="Y42" s="612"/>
      <c r="Z42" s="2791"/>
      <c r="AA42" s="1406"/>
      <c r="AB42" s="1768">
        <v>-4.9000000000000004</v>
      </c>
      <c r="AC42" s="612"/>
      <c r="AD42" s="1784">
        <f>'Cashflow Governmental'!AE45</f>
        <v>1330.6999999999998</v>
      </c>
      <c r="AE42" s="1771"/>
      <c r="AF42" s="3473"/>
      <c r="AG42" s="612"/>
      <c r="AH42" s="1771">
        <f t="shared" si="10"/>
        <v>197.5</v>
      </c>
      <c r="AI42" s="2812"/>
      <c r="AJ42" s="1492">
        <f>ROUND(AH42/AD42,3)</f>
        <v>0.14799999999999999</v>
      </c>
      <c r="AK42" s="1492"/>
      <c r="AL42" s="2761"/>
    </row>
    <row r="43" spans="1:38" ht="18" customHeight="1">
      <c r="A43" s="2777" t="s">
        <v>833</v>
      </c>
      <c r="B43" s="2777"/>
      <c r="C43" s="2777"/>
      <c r="D43" s="612">
        <f>'Exhibit F'!V41</f>
        <v>0</v>
      </c>
      <c r="E43" s="612"/>
      <c r="F43" s="612">
        <f>'Exhibit F'!AC41</f>
        <v>16.5</v>
      </c>
      <c r="G43" s="612"/>
      <c r="H43" s="612">
        <f>'Exhibit G'!V33</f>
        <v>0</v>
      </c>
      <c r="I43" s="612"/>
      <c r="J43" s="612">
        <f>'Exhibit G'!AD33</f>
        <v>-0.3</v>
      </c>
      <c r="K43" s="612"/>
      <c r="L43" s="1769">
        <v>0</v>
      </c>
      <c r="M43" s="1771"/>
      <c r="N43" s="1770">
        <v>0</v>
      </c>
      <c r="O43" s="612"/>
      <c r="P43" s="1769">
        <v>0</v>
      </c>
      <c r="Q43" s="1771"/>
      <c r="R43" s="1769">
        <v>0</v>
      </c>
      <c r="S43" s="612"/>
      <c r="T43" s="2789"/>
      <c r="U43" s="2789"/>
      <c r="V43" s="1771">
        <f t="shared" si="8"/>
        <v>0</v>
      </c>
      <c r="W43" s="1406"/>
      <c r="X43" s="1771">
        <f t="shared" si="9"/>
        <v>16.2</v>
      </c>
      <c r="Y43" s="612"/>
      <c r="Z43" s="2791"/>
      <c r="AA43" s="1406"/>
      <c r="AB43" s="1768">
        <v>-10.1</v>
      </c>
      <c r="AC43" s="612"/>
      <c r="AD43" s="1784">
        <f>'Cashflow Governmental'!AE46</f>
        <v>155.5</v>
      </c>
      <c r="AE43" s="1771"/>
      <c r="AF43" s="3473"/>
      <c r="AG43" s="612"/>
      <c r="AH43" s="1771">
        <f>ROUND(SUM(X43)-SUM(AD43),1)</f>
        <v>-139.30000000000001</v>
      </c>
      <c r="AI43" s="2812"/>
      <c r="AJ43" s="3794">
        <f>ROUND(AH43/AD43,3)</f>
        <v>-0.89600000000000002</v>
      </c>
      <c r="AK43" s="1492"/>
      <c r="AL43" s="2761"/>
    </row>
    <row r="44" spans="1:38" ht="18" customHeight="1">
      <c r="A44" s="2777" t="s">
        <v>1539</v>
      </c>
      <c r="B44" s="2777"/>
      <c r="C44" s="2777"/>
      <c r="D44" s="612">
        <f>'Exhibit F'!V42</f>
        <v>448.70000000000073</v>
      </c>
      <c r="E44" s="612"/>
      <c r="F44" s="612">
        <f>'Exhibit F'!AC42</f>
        <v>5530.4000000000005</v>
      </c>
      <c r="G44" s="612"/>
      <c r="H44" s="612">
        <v>0</v>
      </c>
      <c r="I44" s="612"/>
      <c r="J44" s="612">
        <v>0</v>
      </c>
      <c r="K44" s="612"/>
      <c r="L44" s="1769">
        <f>'Exhibit H'!T22</f>
        <v>448.60000000000036</v>
      </c>
      <c r="M44" s="1771"/>
      <c r="N44" s="1770">
        <f>'Exhibit H'!AA22</f>
        <v>5530.3</v>
      </c>
      <c r="O44" s="612"/>
      <c r="P44" s="1769">
        <v>0</v>
      </c>
      <c r="Q44" s="1771"/>
      <c r="R44" s="1769">
        <v>0</v>
      </c>
      <c r="S44" s="612"/>
      <c r="T44" s="2789"/>
      <c r="U44" s="2789"/>
      <c r="V44" s="1771">
        <f t="shared" si="8"/>
        <v>897.30000000000109</v>
      </c>
      <c r="W44" s="1406"/>
      <c r="X44" s="1771">
        <f t="shared" si="9"/>
        <v>11060.7</v>
      </c>
      <c r="Y44" s="612"/>
      <c r="Z44" s="2791"/>
      <c r="AA44" s="1406"/>
      <c r="AB44" s="1768">
        <v>0</v>
      </c>
      <c r="AC44" s="612"/>
      <c r="AD44" s="1784">
        <f>'Cashflow Governmental'!AE47</f>
        <v>0</v>
      </c>
      <c r="AE44" s="1771"/>
      <c r="AF44" s="3473"/>
      <c r="AG44" s="612"/>
      <c r="AH44" s="1771">
        <f>ROUND(SUM(X44)-SUM(AD44),1)</f>
        <v>11060.7</v>
      </c>
      <c r="AI44" s="2812"/>
      <c r="AJ44" s="1703">
        <f>ROUND(IF(AD44=0,1,AH44/(AD44)),3)</f>
        <v>1</v>
      </c>
      <c r="AK44" s="1492"/>
      <c r="AL44" s="2761"/>
    </row>
    <row r="45" spans="1:38" ht="18" customHeight="1">
      <c r="A45" s="2777" t="s">
        <v>834</v>
      </c>
      <c r="B45" s="2777"/>
      <c r="C45" s="2777"/>
      <c r="D45" s="612">
        <f>'Exhibit F'!V43</f>
        <v>0</v>
      </c>
      <c r="E45" s="1771"/>
      <c r="F45" s="612">
        <f>'Exhibit F'!AC43</f>
        <v>0</v>
      </c>
      <c r="G45" s="612"/>
      <c r="H45" s="612">
        <f>'Exhibit G'!V34</f>
        <v>38.099999999999952</v>
      </c>
      <c r="I45" s="1771"/>
      <c r="J45" s="612">
        <f>'Exhibit G'!AD34</f>
        <v>384.1</v>
      </c>
      <c r="K45" s="612"/>
      <c r="L45" s="1769">
        <v>0</v>
      </c>
      <c r="M45" s="1771"/>
      <c r="N45" s="1770">
        <v>0</v>
      </c>
      <c r="O45" s="612"/>
      <c r="P45" s="612">
        <f>'Exhibit I'!W27</f>
        <v>48.499999999999986</v>
      </c>
      <c r="Q45" s="1771"/>
      <c r="R45" s="612">
        <f>'Exhibit I'!AF27</f>
        <v>488.9</v>
      </c>
      <c r="S45" s="612"/>
      <c r="T45" s="2789"/>
      <c r="U45" s="2789"/>
      <c r="V45" s="1771">
        <f t="shared" si="8"/>
        <v>86.599999999999937</v>
      </c>
      <c r="W45" s="1406"/>
      <c r="X45" s="1771">
        <f t="shared" si="9"/>
        <v>873</v>
      </c>
      <c r="Y45" s="612"/>
      <c r="Z45" s="2791"/>
      <c r="AA45" s="1406"/>
      <c r="AB45" s="1768">
        <v>76.400000000000006</v>
      </c>
      <c r="AC45" s="612"/>
      <c r="AD45" s="1784">
        <f>'Cashflow Governmental'!AE48</f>
        <v>797</v>
      </c>
      <c r="AE45" s="1771"/>
      <c r="AF45" s="3473"/>
      <c r="AG45" s="612"/>
      <c r="AH45" s="1771">
        <f t="shared" si="10"/>
        <v>76</v>
      </c>
      <c r="AI45" s="2813"/>
      <c r="AJ45" s="1492">
        <f t="shared" si="11"/>
        <v>9.5000000000000001E-2</v>
      </c>
      <c r="AK45" s="1492"/>
      <c r="AL45" s="2761"/>
    </row>
    <row r="46" spans="1:38" ht="18" customHeight="1">
      <c r="A46" s="2776" t="s">
        <v>829</v>
      </c>
      <c r="B46" s="2777"/>
      <c r="C46" s="2777"/>
      <c r="D46" s="1493">
        <f>ROUND(SUM(D40:D45),1)</f>
        <v>653.29999999999995</v>
      </c>
      <c r="E46" s="2258"/>
      <c r="F46" s="1781">
        <f>ROUND(SUM(F40:F45),1)</f>
        <v>11721.5</v>
      </c>
      <c r="G46" s="20"/>
      <c r="H46" s="1781">
        <f>ROUND(SUM(H40:H45),1)</f>
        <v>76.099999999999994</v>
      </c>
      <c r="I46" s="1462"/>
      <c r="J46" s="1781">
        <f>ROUND(SUM(J40:J45),1)</f>
        <v>1755</v>
      </c>
      <c r="K46" s="20"/>
      <c r="L46" s="1783">
        <f>ROUND(SUM(L40:L45),1)</f>
        <v>448.6</v>
      </c>
      <c r="M46" s="2794"/>
      <c r="N46" s="1783">
        <f>ROUND(SUM(N40:N45),1)</f>
        <v>5530.3</v>
      </c>
      <c r="O46" s="20"/>
      <c r="P46" s="1781">
        <f>ROUND(SUM(P40:P45),1)</f>
        <v>48.4</v>
      </c>
      <c r="Q46" s="1462"/>
      <c r="R46" s="1781">
        <f>ROUND(SUM(R40:R45),1)</f>
        <v>494.7</v>
      </c>
      <c r="S46" s="20"/>
      <c r="T46" s="2795"/>
      <c r="U46" s="2795"/>
      <c r="V46" s="1781">
        <f>ROUND(SUM(V40:V45),1)</f>
        <v>1226.4000000000001</v>
      </c>
      <c r="W46" s="1462"/>
      <c r="X46" s="1781">
        <f>ROUND(SUM(X40:X45),1)</f>
        <v>19501.5</v>
      </c>
      <c r="Y46" s="3709"/>
      <c r="Z46" s="2284"/>
      <c r="AA46" s="1462"/>
      <c r="AB46" s="1781">
        <f>ROUND(SUM(AB40:AB45),1)</f>
        <v>117.4</v>
      </c>
      <c r="AC46" s="20"/>
      <c r="AD46" s="1781">
        <f>ROUND(SUM(AD40:AD45),1)</f>
        <v>6248.3</v>
      </c>
      <c r="AE46" s="1462"/>
      <c r="AF46" s="3474"/>
      <c r="AG46" s="1462"/>
      <c r="AH46" s="3321">
        <f t="shared" si="10"/>
        <v>13253.2</v>
      </c>
      <c r="AI46" s="2230"/>
      <c r="AJ46" s="1494">
        <f t="shared" si="11"/>
        <v>2.121</v>
      </c>
      <c r="AK46" s="2814"/>
      <c r="AL46" s="2815"/>
    </row>
    <row r="47" spans="1:38" ht="18" customHeight="1">
      <c r="A47" s="2777"/>
      <c r="B47" s="2777"/>
      <c r="C47" s="2777"/>
      <c r="D47" s="1495"/>
      <c r="E47" s="609"/>
      <c r="F47" s="1782"/>
      <c r="G47" s="612"/>
      <c r="H47" s="1782"/>
      <c r="I47" s="1406"/>
      <c r="J47" s="1782" t="s">
        <v>14</v>
      </c>
      <c r="K47" s="612"/>
      <c r="L47" s="1782"/>
      <c r="M47" s="1406"/>
      <c r="N47" s="1782"/>
      <c r="O47" s="612"/>
      <c r="P47" s="1782"/>
      <c r="Q47" s="1406"/>
      <c r="R47" s="1782"/>
      <c r="S47" s="612"/>
      <c r="T47" s="2789"/>
      <c r="U47" s="2789"/>
      <c r="V47" s="1782"/>
      <c r="W47" s="1406"/>
      <c r="X47" s="1782" t="s">
        <v>14</v>
      </c>
      <c r="Y47" s="1406"/>
      <c r="Z47" s="2791"/>
      <c r="AA47" s="1406"/>
      <c r="AB47" s="1782"/>
      <c r="AC47" s="612"/>
      <c r="AD47" s="1782"/>
      <c r="AE47" s="1406"/>
      <c r="AF47" s="3473"/>
      <c r="AG47" s="1406"/>
      <c r="AH47" s="1406"/>
      <c r="AI47" s="606"/>
      <c r="AJ47" s="2806"/>
      <c r="AK47" s="2807"/>
      <c r="AL47" s="2761"/>
    </row>
    <row r="48" spans="1:38" ht="18" customHeight="1">
      <c r="A48" s="2808" t="s">
        <v>1080</v>
      </c>
      <c r="B48" s="2777"/>
      <c r="C48" s="2777"/>
      <c r="D48" s="608"/>
      <c r="E48" s="608"/>
      <c r="F48" s="612"/>
      <c r="G48" s="612"/>
      <c r="H48" s="612" t="s">
        <v>14</v>
      </c>
      <c r="I48" s="612"/>
      <c r="J48" s="612"/>
      <c r="K48" s="612"/>
      <c r="L48" s="612"/>
      <c r="M48" s="612"/>
      <c r="N48" s="612"/>
      <c r="O48" s="612"/>
      <c r="P48" s="612"/>
      <c r="Q48" s="612"/>
      <c r="R48" s="612"/>
      <c r="S48" s="612"/>
      <c r="T48" s="2789"/>
      <c r="U48" s="2789"/>
      <c r="V48" s="1406"/>
      <c r="W48" s="1406"/>
      <c r="X48" s="612"/>
      <c r="Y48" s="612"/>
      <c r="Z48" s="2791"/>
      <c r="AA48" s="1406"/>
      <c r="AB48" s="1406"/>
      <c r="AC48" s="612"/>
      <c r="AD48" s="612"/>
      <c r="AE48" s="612"/>
      <c r="AF48" s="3473"/>
      <c r="AG48" s="612"/>
      <c r="AH48" s="612"/>
      <c r="AI48" s="2236"/>
      <c r="AJ48" s="1492"/>
      <c r="AK48" s="2807"/>
      <c r="AL48" s="2761"/>
    </row>
    <row r="49" spans="1:38" ht="18" customHeight="1">
      <c r="A49" s="2777" t="s">
        <v>835</v>
      </c>
      <c r="B49" s="2777"/>
      <c r="C49" s="2777"/>
      <c r="D49" s="1769">
        <f>'Exhibit F'!V46</f>
        <v>0</v>
      </c>
      <c r="E49" s="612"/>
      <c r="F49" s="612">
        <f>'Exhibit F'!AC46</f>
        <v>0</v>
      </c>
      <c r="G49" s="612"/>
      <c r="H49" s="1769">
        <v>0</v>
      </c>
      <c r="I49" s="1771"/>
      <c r="J49" s="1770">
        <v>0</v>
      </c>
      <c r="K49" s="612"/>
      <c r="L49" s="1770">
        <v>0</v>
      </c>
      <c r="M49" s="1770"/>
      <c r="N49" s="1770">
        <v>0</v>
      </c>
      <c r="O49" s="612"/>
      <c r="P49" s="1769">
        <v>0</v>
      </c>
      <c r="Q49" s="1771"/>
      <c r="R49" s="1770">
        <v>0</v>
      </c>
      <c r="S49" s="612"/>
      <c r="T49" s="2789"/>
      <c r="U49" s="2789"/>
      <c r="V49" s="1770">
        <f t="shared" ref="V49:V53" si="12">SUM(D49)+SUM(H49)+SUM(L49)+SUM(P49)</f>
        <v>0</v>
      </c>
      <c r="W49" s="1406"/>
      <c r="X49" s="1771">
        <f t="shared" ref="X49:X53" si="13">SUM(F49)+SUM(J49)+SUM(N49)+SUM(R49)</f>
        <v>0</v>
      </c>
      <c r="Y49" s="2790"/>
      <c r="Z49" s="2791"/>
      <c r="AA49" s="1406"/>
      <c r="AB49" s="1768">
        <v>0</v>
      </c>
      <c r="AC49" s="612"/>
      <c r="AD49" s="1784">
        <f>'Cashflow Governmental'!AE51</f>
        <v>0</v>
      </c>
      <c r="AE49" s="1771"/>
      <c r="AF49" s="3473"/>
      <c r="AG49" s="2790"/>
      <c r="AH49" s="1771">
        <f t="shared" ref="AH49:AH55" si="14">ROUND(SUM(X49)-SUM(AD49),1)</f>
        <v>0</v>
      </c>
      <c r="AI49" s="2812"/>
      <c r="AJ49" s="1422">
        <f>ROUND(IF(AD49=0,0,-AH49/(AD49)),3)</f>
        <v>0</v>
      </c>
      <c r="AK49" s="1492"/>
      <c r="AL49" s="2761"/>
    </row>
    <row r="50" spans="1:38" ht="18" customHeight="1">
      <c r="A50" s="2777" t="s">
        <v>836</v>
      </c>
      <c r="B50" s="2777"/>
      <c r="C50" s="2777"/>
      <c r="D50" s="1769">
        <f>'Exhibit F'!V47</f>
        <v>123.59999999999987</v>
      </c>
      <c r="E50" s="612"/>
      <c r="F50" s="612">
        <f>'Exhibit F'!AC47</f>
        <v>1168.5</v>
      </c>
      <c r="G50" s="612"/>
      <c r="H50" s="1769">
        <v>0</v>
      </c>
      <c r="I50" s="1771"/>
      <c r="J50" s="1770">
        <v>0</v>
      </c>
      <c r="K50" s="612"/>
      <c r="L50" s="1770">
        <v>0</v>
      </c>
      <c r="M50" s="1770"/>
      <c r="N50" s="1770">
        <v>0</v>
      </c>
      <c r="O50" s="612"/>
      <c r="P50" s="1769">
        <v>0</v>
      </c>
      <c r="Q50" s="1771"/>
      <c r="R50" s="1770">
        <v>0</v>
      </c>
      <c r="S50" s="612"/>
      <c r="T50" s="2789"/>
      <c r="U50" s="2789"/>
      <c r="V50" s="1771">
        <f t="shared" si="12"/>
        <v>123.59999999999987</v>
      </c>
      <c r="W50" s="1406"/>
      <c r="X50" s="1771">
        <f t="shared" si="13"/>
        <v>1168.5</v>
      </c>
      <c r="Y50" s="2790"/>
      <c r="Z50" s="2791"/>
      <c r="AA50" s="1406"/>
      <c r="AB50" s="1768">
        <v>293.5</v>
      </c>
      <c r="AC50" s="612"/>
      <c r="AD50" s="1784">
        <f>'Cashflow Governmental'!AE52</f>
        <v>1250</v>
      </c>
      <c r="AE50" s="1784"/>
      <c r="AF50" s="3473"/>
      <c r="AG50" s="2790"/>
      <c r="AH50" s="1771">
        <f t="shared" si="14"/>
        <v>-81.5</v>
      </c>
      <c r="AI50" s="2812"/>
      <c r="AJ50" s="1492">
        <f>ROUND(AH50/AD50,3)</f>
        <v>-6.5000000000000002E-2</v>
      </c>
      <c r="AK50" s="1492"/>
      <c r="AL50" s="2761"/>
    </row>
    <row r="51" spans="1:38" ht="18" customHeight="1">
      <c r="A51" s="2777" t="s">
        <v>837</v>
      </c>
      <c r="B51" s="2777"/>
      <c r="C51" s="2777"/>
      <c r="D51" s="1769">
        <f>'Exhibit F'!V48</f>
        <v>0.79999999999999893</v>
      </c>
      <c r="E51" s="612"/>
      <c r="F51" s="612">
        <f>'Exhibit F'!AC48</f>
        <v>12.1</v>
      </c>
      <c r="G51" s="612"/>
      <c r="H51" s="1769">
        <v>0</v>
      </c>
      <c r="I51" s="1771"/>
      <c r="J51" s="1770">
        <v>0</v>
      </c>
      <c r="K51" s="612"/>
      <c r="L51" s="1770">
        <v>0</v>
      </c>
      <c r="M51" s="1770"/>
      <c r="N51" s="1770">
        <v>0</v>
      </c>
      <c r="O51" s="612"/>
      <c r="P51" s="1769">
        <v>0</v>
      </c>
      <c r="Q51" s="1771"/>
      <c r="R51" s="1770">
        <v>0</v>
      </c>
      <c r="S51" s="612"/>
      <c r="T51" s="2789"/>
      <c r="U51" s="2789"/>
      <c r="V51" s="1771">
        <f t="shared" si="12"/>
        <v>0.79999999999999893</v>
      </c>
      <c r="W51" s="1406"/>
      <c r="X51" s="1771">
        <f t="shared" si="13"/>
        <v>12.1</v>
      </c>
      <c r="Y51" s="2790"/>
      <c r="Z51" s="2791"/>
      <c r="AA51" s="1406"/>
      <c r="AB51" s="1768">
        <v>0.6</v>
      </c>
      <c r="AC51" s="612"/>
      <c r="AD51" s="1784">
        <f>'Cashflow Governmental'!AE53</f>
        <v>8.6999999999999993</v>
      </c>
      <c r="AE51" s="1784"/>
      <c r="AF51" s="3473"/>
      <c r="AG51" s="2790"/>
      <c r="AH51" s="1771">
        <f t="shared" si="14"/>
        <v>3.4</v>
      </c>
      <c r="AI51" s="2812"/>
      <c r="AJ51" s="1492">
        <f>ROUND(AH51/AD51,3)</f>
        <v>0.39100000000000001</v>
      </c>
      <c r="AK51" s="1492"/>
      <c r="AL51" s="2761"/>
    </row>
    <row r="52" spans="1:38" ht="18" customHeight="1">
      <c r="A52" s="2777" t="s">
        <v>838</v>
      </c>
      <c r="B52" s="2777"/>
      <c r="C52" s="2777"/>
      <c r="D52" s="1769">
        <f>'Exhibit F'!V49</f>
        <v>0</v>
      </c>
      <c r="E52" s="1771"/>
      <c r="F52" s="612">
        <f>'Exhibit F'!AC49</f>
        <v>0</v>
      </c>
      <c r="G52" s="612"/>
      <c r="H52" s="1769">
        <v>0</v>
      </c>
      <c r="I52" s="1771"/>
      <c r="J52" s="1770">
        <v>0</v>
      </c>
      <c r="K52" s="612"/>
      <c r="L52" s="1771">
        <f>'Exhibit H'!T25</f>
        <v>167.19999999999993</v>
      </c>
      <c r="M52" s="1771"/>
      <c r="N52" s="1771">
        <f>'Exhibit H'!AA25</f>
        <v>1281.3</v>
      </c>
      <c r="O52" s="612"/>
      <c r="P52" s="1768">
        <f>'Exhibit I'!W30</f>
        <v>11.899999999999983</v>
      </c>
      <c r="Q52" s="1771"/>
      <c r="R52" s="1784">
        <f>'Exhibit I'!AF30</f>
        <v>95.3</v>
      </c>
      <c r="S52" s="612"/>
      <c r="T52" s="2789"/>
      <c r="U52" s="2789"/>
      <c r="V52" s="1771">
        <f t="shared" si="12"/>
        <v>179.09999999999991</v>
      </c>
      <c r="W52" s="1406"/>
      <c r="X52" s="1771">
        <f t="shared" si="13"/>
        <v>1376.6</v>
      </c>
      <c r="Y52" s="2790"/>
      <c r="Z52" s="2791"/>
      <c r="AA52" s="1406"/>
      <c r="AB52" s="1768">
        <v>122.8</v>
      </c>
      <c r="AC52" s="612"/>
      <c r="AD52" s="1784">
        <f>'Cashflow Governmental'!AE54</f>
        <v>769.3</v>
      </c>
      <c r="AE52" s="1771"/>
      <c r="AF52" s="3473"/>
      <c r="AG52" s="2790"/>
      <c r="AH52" s="1771">
        <f t="shared" si="14"/>
        <v>607.29999999999995</v>
      </c>
      <c r="AI52" s="2816"/>
      <c r="AJ52" s="1492">
        <f>ROUND(AH52/AD52,3)</f>
        <v>0.78900000000000003</v>
      </c>
      <c r="AK52" s="1492"/>
      <c r="AL52" s="2761"/>
    </row>
    <row r="53" spans="1:38" ht="18" customHeight="1">
      <c r="A53" s="2777" t="s">
        <v>1540</v>
      </c>
      <c r="B53" s="2777"/>
      <c r="C53" s="2777"/>
      <c r="D53" s="1769">
        <f>'Exhibit F'!V50</f>
        <v>0.1</v>
      </c>
      <c r="E53" s="1406"/>
      <c r="F53" s="612">
        <f>'Exhibit F'!AC50</f>
        <v>1.4</v>
      </c>
      <c r="G53" s="612"/>
      <c r="H53" s="1769">
        <v>0</v>
      </c>
      <c r="I53" s="1771"/>
      <c r="J53" s="1770">
        <v>0</v>
      </c>
      <c r="K53" s="612"/>
      <c r="L53" s="1770">
        <v>0</v>
      </c>
      <c r="M53" s="1770"/>
      <c r="N53" s="1770">
        <v>0</v>
      </c>
      <c r="O53" s="612"/>
      <c r="P53" s="1769">
        <v>0</v>
      </c>
      <c r="Q53" s="1771"/>
      <c r="R53" s="1770">
        <v>0</v>
      </c>
      <c r="S53" s="612"/>
      <c r="T53" s="2789"/>
      <c r="U53" s="2789"/>
      <c r="V53" s="1771">
        <f t="shared" si="12"/>
        <v>0.1</v>
      </c>
      <c r="W53" s="1406"/>
      <c r="X53" s="1771">
        <f t="shared" si="13"/>
        <v>1.4</v>
      </c>
      <c r="Y53" s="2790"/>
      <c r="Z53" s="2791"/>
      <c r="AA53" s="1406"/>
      <c r="AB53" s="1768">
        <v>0</v>
      </c>
      <c r="AC53" s="612"/>
      <c r="AD53" s="1784">
        <f>'Cashflow Governmental'!AE55</f>
        <v>0.1</v>
      </c>
      <c r="AE53" s="1771"/>
      <c r="AF53" s="3473"/>
      <c r="AG53" s="2790"/>
      <c r="AH53" s="1771">
        <f t="shared" si="14"/>
        <v>1.3</v>
      </c>
      <c r="AI53" s="2816"/>
      <c r="AJ53" s="1463">
        <f>ROUND(IF(AD53=0,0,AH53/(AD53)),3)</f>
        <v>13</v>
      </c>
      <c r="AK53" s="1492"/>
      <c r="AL53" s="2761"/>
    </row>
    <row r="54" spans="1:38" ht="18" customHeight="1">
      <c r="A54" s="2722" t="s">
        <v>1271</v>
      </c>
      <c r="B54" s="2778"/>
      <c r="C54" s="2778"/>
      <c r="D54" s="1769">
        <f>'Exhibit F'!V51</f>
        <v>2.6000000000000019</v>
      </c>
      <c r="E54" s="1406"/>
      <c r="F54" s="612">
        <f>'Exhibit F'!AC51</f>
        <v>6.2</v>
      </c>
      <c r="G54" s="612"/>
      <c r="H54" s="612">
        <v>0</v>
      </c>
      <c r="I54" s="1771"/>
      <c r="J54" s="1771">
        <v>0</v>
      </c>
      <c r="K54" s="612"/>
      <c r="L54" s="1769">
        <f>'Exhibit H'!T26</f>
        <v>2.5000000000000009</v>
      </c>
      <c r="M54" s="1771"/>
      <c r="N54" s="1770">
        <f>'Exhibit H'!AA26</f>
        <v>6.1000000000000005</v>
      </c>
      <c r="O54" s="612"/>
      <c r="P54" s="1769">
        <v>0</v>
      </c>
      <c r="Q54" s="1771"/>
      <c r="R54" s="1770">
        <v>0</v>
      </c>
      <c r="S54" s="612"/>
      <c r="T54" s="2789"/>
      <c r="U54" s="2789"/>
      <c r="V54" s="1771">
        <f t="shared" ref="V54" si="15">SUM(D54)+SUM(H54)+SUM(L54)+SUM(P54)</f>
        <v>5.1000000000000032</v>
      </c>
      <c r="W54" s="1406"/>
      <c r="X54" s="1771">
        <f t="shared" ref="X54" si="16">SUM(F54)+SUM(J54)+SUM(N54)+SUM(R54)</f>
        <v>12.3</v>
      </c>
      <c r="Y54" s="2790"/>
      <c r="Z54" s="2791"/>
      <c r="AA54" s="1406"/>
      <c r="AB54" s="1768">
        <v>0.7</v>
      </c>
      <c r="AC54" s="612"/>
      <c r="AD54" s="1784">
        <f>'Cashflow Governmental'!AE56</f>
        <v>2.8</v>
      </c>
      <c r="AE54" s="1771"/>
      <c r="AF54" s="3473"/>
      <c r="AG54" s="2790"/>
      <c r="AH54" s="1770">
        <f t="shared" ref="AH54" si="17">ROUND(SUM(X54)-SUM(AD54),1)</f>
        <v>9.5</v>
      </c>
      <c r="AI54" s="2816"/>
      <c r="AJ54" s="1422">
        <f>ROUND(IF(AD54=0,1,AH54/(AD54)),3)</f>
        <v>3.3929999999999998</v>
      </c>
      <c r="AK54" s="1492"/>
      <c r="AL54" s="2761"/>
    </row>
    <row r="55" spans="1:38" ht="18" customHeight="1">
      <c r="A55" s="2776" t="s">
        <v>829</v>
      </c>
      <c r="B55" s="2777"/>
      <c r="C55" s="2777"/>
      <c r="D55" s="1493">
        <f>ROUND(SUM(D49:D54),1)</f>
        <v>127.1</v>
      </c>
      <c r="E55" s="2258"/>
      <c r="F55" s="1781">
        <f>ROUND(SUM(F49:F54),1)</f>
        <v>1188.2</v>
      </c>
      <c r="G55" s="20"/>
      <c r="H55" s="2796">
        <f>ROUND(SUM(H49:H54),1)</f>
        <v>0</v>
      </c>
      <c r="I55" s="2794"/>
      <c r="J55" s="2796">
        <f>ROUND(SUM(J49:J54),1)</f>
        <v>0</v>
      </c>
      <c r="K55" s="20"/>
      <c r="L55" s="1781">
        <f>ROUND(SUM(L49:L54),1)</f>
        <v>169.7</v>
      </c>
      <c r="M55" s="1462"/>
      <c r="N55" s="1781">
        <f>ROUND(SUM(N49:N54),1)</f>
        <v>1287.4000000000001</v>
      </c>
      <c r="O55" s="20" t="s">
        <v>14</v>
      </c>
      <c r="P55" s="1781">
        <f>ROUND(SUM(P49:P54),1)</f>
        <v>11.9</v>
      </c>
      <c r="Q55" s="1462"/>
      <c r="R55" s="1781">
        <f>ROUND(SUM(R49:R54),1)</f>
        <v>95.3</v>
      </c>
      <c r="S55" s="20"/>
      <c r="T55" s="2795"/>
      <c r="U55" s="2795"/>
      <c r="V55" s="2796">
        <f>ROUND(SUM(V49:V54),1)</f>
        <v>308.7</v>
      </c>
      <c r="W55" s="1462"/>
      <c r="X55" s="2796">
        <f>ROUND(SUM(X49:X54),1)</f>
        <v>2570.9</v>
      </c>
      <c r="Y55" s="2805"/>
      <c r="Z55" s="2284"/>
      <c r="AA55" s="1462"/>
      <c r="AB55" s="2796">
        <f>ROUND(SUM(AB49:AB54),1)</f>
        <v>417.6</v>
      </c>
      <c r="AC55" s="20"/>
      <c r="AD55" s="2796">
        <f>ROUND(SUM(AD49:AD54),1)</f>
        <v>2030.9</v>
      </c>
      <c r="AE55" s="2794"/>
      <c r="AF55" s="3474"/>
      <c r="AG55" s="2797"/>
      <c r="AH55" s="1813">
        <f t="shared" si="14"/>
        <v>540</v>
      </c>
      <c r="AI55" s="2230"/>
      <c r="AJ55" s="1494">
        <f>ROUND(AH55/AD55,3)</f>
        <v>0.26600000000000001</v>
      </c>
      <c r="AK55" s="2814"/>
      <c r="AL55" s="2815"/>
    </row>
    <row r="56" spans="1:38" ht="18" customHeight="1">
      <c r="A56" s="2777"/>
      <c r="B56" s="2777"/>
      <c r="C56" s="2777"/>
      <c r="D56" s="1496"/>
      <c r="E56" s="2230"/>
      <c r="F56" s="3429"/>
      <c r="G56" s="3016"/>
      <c r="H56" s="3429"/>
      <c r="I56" s="2285"/>
      <c r="J56" s="3429"/>
      <c r="K56" s="3016"/>
      <c r="L56" s="3429"/>
      <c r="M56" s="2285"/>
      <c r="N56" s="3429"/>
      <c r="O56" s="3016"/>
      <c r="P56" s="3429"/>
      <c r="Q56" s="2285"/>
      <c r="R56" s="3429"/>
      <c r="S56" s="3016"/>
      <c r="T56" s="3710"/>
      <c r="U56" s="3710"/>
      <c r="V56" s="3429"/>
      <c r="W56" s="3313"/>
      <c r="X56" s="3429"/>
      <c r="Y56" s="2285"/>
      <c r="Z56" s="3711"/>
      <c r="AA56" s="3313"/>
      <c r="AB56" s="3429"/>
      <c r="AC56" s="3016"/>
      <c r="AD56" s="3429"/>
      <c r="AE56" s="2285"/>
      <c r="AF56" s="3475"/>
      <c r="AG56" s="2285"/>
      <c r="AH56" s="3322"/>
      <c r="AI56" s="2230"/>
      <c r="AJ56" s="1497"/>
      <c r="AK56" s="2815"/>
      <c r="AL56" s="2815"/>
    </row>
    <row r="57" spans="1:38" ht="18" customHeight="1" thickBot="1">
      <c r="A57" s="2776" t="s">
        <v>839</v>
      </c>
      <c r="B57" s="2777"/>
      <c r="C57" s="2777"/>
      <c r="D57" s="1498">
        <f>ROUND(SUM(D25)+SUM(D37)+SUM(D46)+SUM(D55),1)</f>
        <v>4555.7</v>
      </c>
      <c r="E57" s="2817"/>
      <c r="F57" s="3712">
        <f>ROUND(SUM(F25)+SUM(F37)+SUM(F46)+SUM(F55),1)</f>
        <v>44743.5</v>
      </c>
      <c r="G57" s="3713"/>
      <c r="H57" s="3712">
        <f>ROUND(SUM(H25)+SUM(H37)+SUM(H46)+SUM(H55),1)</f>
        <v>2077.1999999999998</v>
      </c>
      <c r="I57" s="2292"/>
      <c r="J57" s="3712">
        <f>ROUND(SUM(J25)+SUM(J37)+SUM(J46)+SUM(J55),1)</f>
        <v>5301.3</v>
      </c>
      <c r="K57" s="2292"/>
      <c r="L57" s="3712">
        <f>ROUND(SUM(L25)+SUM(L37)+SUM(L46)+SUM(L55),1)</f>
        <v>6874.7</v>
      </c>
      <c r="M57" s="2292"/>
      <c r="N57" s="3712">
        <f>ROUND(SUM(N25)+SUM(N37)+SUM(N46)+SUM(N55),1)</f>
        <v>46857.9</v>
      </c>
      <c r="O57" s="2292"/>
      <c r="P57" s="3712">
        <f>ROUND(SUM(P25)+SUM(P37)+SUM(P46)+SUM(P55),1)</f>
        <v>95.3</v>
      </c>
      <c r="Q57" s="2292"/>
      <c r="R57" s="3712">
        <f>ROUND(SUM(R25)+SUM(R37)+SUM(R46)+SUM(R55),1)</f>
        <v>1103.7</v>
      </c>
      <c r="S57" s="2290"/>
      <c r="T57" s="3714"/>
      <c r="U57" s="2292"/>
      <c r="V57" s="3430">
        <f>ROUND(SUM(V25)+SUM(V37)+SUM(V46)+SUM(V55),1)</f>
        <v>13602.9</v>
      </c>
      <c r="W57" s="2292"/>
      <c r="X57" s="3430">
        <f>ROUND(SUM(X25)+SUM(X37)+SUM(X46)+SUM(X55),1)</f>
        <v>98006.399999999994</v>
      </c>
      <c r="Y57" s="3715"/>
      <c r="Z57" s="2293"/>
      <c r="AA57" s="2292"/>
      <c r="AB57" s="3430">
        <f>ROUND(SUM(AB25)+SUM(AB37)+SUM(AB46)+SUM(AB55),1)</f>
        <v>11437.4</v>
      </c>
      <c r="AC57" s="2292"/>
      <c r="AD57" s="3430">
        <f>ROUND(SUM(AD25)+SUM(AD37)+SUM(AD46)+SUM(AD55),1)</f>
        <v>68023.5</v>
      </c>
      <c r="AE57" s="2292"/>
      <c r="AF57" s="3476"/>
      <c r="AG57" s="2292"/>
      <c r="AH57" s="22">
        <f>ROUND(SUM(X57)-SUM(AD57),1)</f>
        <v>29982.9</v>
      </c>
      <c r="AI57" s="2230"/>
      <c r="AJ57" s="1499">
        <f>ROUND(AH57/AD57,3)</f>
        <v>0.441</v>
      </c>
      <c r="AK57" s="2814"/>
      <c r="AL57" s="2815"/>
    </row>
    <row r="58" spans="1:38" ht="15" customHeight="1" thickTop="1">
      <c r="F58" s="2786" t="s">
        <v>14</v>
      </c>
      <c r="G58" s="2786"/>
      <c r="H58" s="2786"/>
      <c r="I58" s="2786"/>
      <c r="J58" s="2786"/>
      <c r="K58" s="2786"/>
      <c r="L58" s="2786"/>
      <c r="M58" s="2786"/>
      <c r="N58" s="2786" t="s">
        <v>14</v>
      </c>
      <c r="O58" s="2786"/>
      <c r="P58" s="2786"/>
      <c r="Q58" s="2786"/>
      <c r="R58" s="2786" t="s">
        <v>14</v>
      </c>
      <c r="S58" s="2786"/>
      <c r="T58" s="2786"/>
      <c r="U58" s="2786"/>
      <c r="Y58" s="2786"/>
      <c r="Z58" s="2786"/>
      <c r="AA58" s="2786"/>
    </row>
    <row r="59" spans="1:38" ht="15" customHeight="1">
      <c r="F59" s="2786"/>
      <c r="G59" s="2786"/>
      <c r="H59" s="2786"/>
      <c r="I59" s="2786"/>
      <c r="J59" s="2786"/>
      <c r="K59" s="2786"/>
      <c r="L59" s="2786"/>
      <c r="M59" s="2786"/>
      <c r="N59" s="2786"/>
      <c r="O59" s="2786"/>
      <c r="P59" s="2786"/>
      <c r="Q59" s="2786"/>
      <c r="R59" s="2786"/>
      <c r="S59" s="2786"/>
      <c r="T59" s="2786"/>
      <c r="U59" s="2786"/>
      <c r="Y59" s="2786"/>
      <c r="Z59" s="2786"/>
      <c r="AA59" s="2786"/>
    </row>
    <row r="60" spans="1:38">
      <c r="F60" s="2786"/>
      <c r="G60" s="2786"/>
      <c r="H60" s="2786" t="s">
        <v>14</v>
      </c>
      <c r="I60" s="2786"/>
      <c r="J60" s="2786"/>
      <c r="K60" s="2786"/>
      <c r="L60" s="2786"/>
      <c r="M60" s="2786"/>
      <c r="N60" s="2786"/>
      <c r="O60" s="2786"/>
      <c r="P60" s="2786"/>
      <c r="Q60" s="2786"/>
      <c r="R60" s="2786"/>
      <c r="S60" s="2786"/>
      <c r="T60" s="2786"/>
      <c r="U60" s="2786"/>
      <c r="V60" s="2786" t="s">
        <v>14</v>
      </c>
      <c r="Y60" s="2786"/>
      <c r="Z60" s="2786"/>
      <c r="AA60" s="2786"/>
    </row>
    <row r="61" spans="1:38">
      <c r="F61" s="2786"/>
      <c r="G61" s="2786"/>
      <c r="H61" s="2786" t="s">
        <v>14</v>
      </c>
      <c r="I61" s="2786"/>
      <c r="J61" s="2786"/>
      <c r="K61" s="2786"/>
      <c r="L61" s="2786"/>
      <c r="M61" s="2786"/>
      <c r="N61" s="2786"/>
      <c r="O61" s="2786"/>
      <c r="P61" s="2786"/>
      <c r="Q61" s="2786"/>
      <c r="R61" s="2786"/>
      <c r="S61" s="2786"/>
      <c r="T61" s="2786"/>
      <c r="U61" s="2786"/>
      <c r="Y61" s="2786"/>
      <c r="Z61" s="2786"/>
      <c r="AA61" s="2786"/>
    </row>
    <row r="62" spans="1:38">
      <c r="F62" s="2786"/>
      <c r="G62" s="2786"/>
      <c r="H62" s="2786" t="s">
        <v>14</v>
      </c>
      <c r="I62" s="2786"/>
      <c r="J62" s="2786"/>
      <c r="K62" s="2786"/>
      <c r="L62" s="2786"/>
      <c r="M62" s="2786"/>
      <c r="N62" s="2786"/>
      <c r="O62" s="2786"/>
      <c r="P62" s="2786"/>
      <c r="Q62" s="2786"/>
      <c r="R62" s="2786"/>
      <c r="S62" s="2786"/>
      <c r="T62" s="2786"/>
      <c r="U62" s="2786"/>
      <c r="Y62" s="2786"/>
      <c r="Z62" s="2786"/>
      <c r="AA62" s="2786"/>
    </row>
    <row r="64" spans="1:38" ht="15" customHeight="1"/>
  </sheetData>
  <pageMargins left="0.4" right="0.25" top="0.5" bottom="0.40277777777777801" header="0" footer="0.25"/>
  <pageSetup scale="40" firstPageNumber="16" orientation="landscape" useFirstPageNumber="1" r:id="rId1"/>
  <headerFooter scaleWithDoc="0" alignWithMargins="0">
    <oddFooter>&amp;C&amp;8&amp;P</oddFooter>
  </headerFooter>
  <ignoredErrors>
    <ignoredError sqref="F37 R37 F46 AJ49 AJ22:AJ23" unlockedFormula="1"/>
    <ignoredError sqref="AH24 AJ19 AH19 V31 V21:X22 AJ21 V23 AJ44" formula="1"/>
    <ignoredError sqref="AJ31 AJ53"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81640625" defaultRowHeight="16.5" customHeight="1"/>
  <cols>
    <col min="1" max="1" width="43.81640625" style="211" customWidth="1"/>
    <col min="2" max="2" width="1.81640625" style="211" customWidth="1"/>
    <col min="3" max="3" width="13.453125" style="211" customWidth="1"/>
    <col min="4" max="4" width="1.81640625" style="211" customWidth="1"/>
    <col min="5" max="5" width="13.08984375" style="211" customWidth="1"/>
    <col min="6" max="6" width="1.81640625" style="211" customWidth="1"/>
    <col min="7" max="7" width="15.08984375" style="211" customWidth="1"/>
    <col min="8" max="8" width="1.81640625" style="211" customWidth="1"/>
    <col min="9" max="9" width="14.81640625" style="211" customWidth="1"/>
    <col min="10" max="10" width="1.81640625" style="211" customWidth="1"/>
    <col min="11" max="11" width="13.08984375" style="211" customWidth="1"/>
    <col min="12" max="12" width="1.81640625" style="211" customWidth="1"/>
    <col min="13" max="13" width="13.08984375" style="211" customWidth="1"/>
    <col min="14" max="14" width="1.81640625" style="211" customWidth="1"/>
    <col min="15" max="15" width="13.08984375" style="294" customWidth="1"/>
    <col min="16" max="16" width="1.81640625" style="211" customWidth="1"/>
    <col min="17" max="17" width="13.453125" style="294" customWidth="1"/>
    <col min="18" max="18" width="1.81640625" style="211" customWidth="1"/>
    <col min="19" max="19" width="13.08984375" style="211" customWidth="1"/>
    <col min="20" max="20" width="1.81640625" style="211" customWidth="1"/>
    <col min="21" max="21" width="13" style="211" customWidth="1"/>
    <col min="22" max="22" width="1.81640625" style="211" customWidth="1"/>
    <col min="23" max="23" width="13.81640625" style="211" customWidth="1"/>
    <col min="24" max="24" width="1.81640625" style="211" customWidth="1"/>
    <col min="25" max="25" width="12.81640625" style="211" customWidth="1"/>
    <col min="26" max="27" width="1.81640625" style="211" customWidth="1"/>
    <col min="28" max="28" width="15.08984375" style="294" customWidth="1"/>
    <col min="29" max="30" width="1.81640625" style="294" customWidth="1"/>
    <col min="31" max="31" width="17.453125" style="294" customWidth="1"/>
    <col min="32" max="32" width="0.81640625" style="294" customWidth="1"/>
    <col min="33" max="33" width="1.81640625" style="294" customWidth="1"/>
    <col min="34" max="34" width="12.81640625" style="294" bestFit="1" customWidth="1"/>
    <col min="35" max="35" width="1.08984375" style="294" customWidth="1"/>
    <col min="36" max="36" width="11.08984375" style="294" customWidth="1"/>
    <col min="37" max="37" width="8.81640625" style="294"/>
    <col min="38" max="16384" width="8.81640625" style="211"/>
  </cols>
  <sheetData>
    <row r="1" spans="1:37" ht="16.5" customHeight="1">
      <c r="A1" s="635" t="s">
        <v>881</v>
      </c>
    </row>
    <row r="2" spans="1:37" ht="16.5" customHeight="1">
      <c r="A2" s="812"/>
    </row>
    <row r="3" spans="1:37" ht="23.1" customHeight="1">
      <c r="A3" s="219" t="s">
        <v>0</v>
      </c>
      <c r="B3" s="222"/>
      <c r="C3" s="222"/>
      <c r="D3" s="222"/>
      <c r="E3" s="222"/>
      <c r="F3" s="222"/>
      <c r="G3" s="222"/>
      <c r="H3" s="222"/>
      <c r="I3" s="222"/>
      <c r="J3" s="222"/>
      <c r="K3" s="222"/>
      <c r="L3" s="222"/>
      <c r="M3" s="222"/>
      <c r="N3" s="222"/>
      <c r="O3" s="3063"/>
      <c r="P3" s="222"/>
      <c r="Q3" s="3063"/>
      <c r="R3" s="222"/>
      <c r="S3" s="222"/>
      <c r="T3" s="222"/>
      <c r="U3" s="222"/>
      <c r="V3" s="222"/>
      <c r="W3" s="222"/>
      <c r="X3" s="222"/>
      <c r="Y3" s="222"/>
      <c r="Z3" s="222"/>
      <c r="AA3" s="222"/>
      <c r="AB3" s="3063"/>
      <c r="AC3" s="3063"/>
      <c r="AD3" s="3063"/>
      <c r="AE3" s="3063"/>
      <c r="AF3" s="3063"/>
      <c r="AG3" s="3063"/>
      <c r="AI3" s="3063"/>
    </row>
    <row r="4" spans="1:37" ht="23.25" customHeight="1">
      <c r="A4" s="219" t="s">
        <v>121</v>
      </c>
      <c r="B4" s="222"/>
      <c r="C4" s="222"/>
      <c r="D4" s="222"/>
      <c r="E4" s="222"/>
      <c r="F4" s="222"/>
      <c r="G4" s="222"/>
      <c r="H4" s="222"/>
      <c r="I4" s="222" t="s">
        <v>14</v>
      </c>
      <c r="J4" s="222"/>
      <c r="K4" s="222"/>
      <c r="L4" s="222"/>
      <c r="M4" s="222"/>
      <c r="N4" s="222"/>
      <c r="O4" s="3063"/>
      <c r="P4" s="222"/>
      <c r="Q4" s="3063"/>
      <c r="R4" s="222"/>
      <c r="S4" s="222"/>
      <c r="T4" s="222"/>
      <c r="U4" s="222"/>
      <c r="V4" s="222"/>
      <c r="W4" s="222"/>
      <c r="X4" s="222"/>
      <c r="Y4" s="222" t="s">
        <v>14</v>
      </c>
      <c r="Z4" s="222"/>
      <c r="AA4" s="222"/>
      <c r="AB4" s="3063"/>
      <c r="AC4" s="3063"/>
      <c r="AD4" s="3063"/>
      <c r="AE4" s="3063"/>
      <c r="AF4" s="3063"/>
      <c r="AG4" s="3063"/>
      <c r="AI4" s="3063"/>
    </row>
    <row r="5" spans="1:37" ht="23.25" customHeight="1">
      <c r="A5" s="221" t="s">
        <v>122</v>
      </c>
      <c r="B5" s="222"/>
      <c r="C5" s="222"/>
      <c r="D5" s="222"/>
      <c r="E5" s="222"/>
      <c r="F5" s="222"/>
      <c r="G5" s="222"/>
      <c r="H5" s="222"/>
      <c r="I5" s="222"/>
      <c r="J5" s="222"/>
      <c r="K5" s="222"/>
      <c r="L5" s="222"/>
      <c r="M5" s="222"/>
      <c r="N5" s="222"/>
      <c r="O5" s="3063"/>
      <c r="P5" s="222"/>
      <c r="Q5" s="3063"/>
      <c r="R5" s="222"/>
      <c r="S5" s="222"/>
      <c r="T5" s="222"/>
      <c r="U5" s="222"/>
      <c r="V5" s="222"/>
      <c r="W5" s="222"/>
      <c r="X5" s="222"/>
      <c r="Y5" s="222"/>
      <c r="Z5" s="222"/>
      <c r="AA5" s="222"/>
      <c r="AC5" s="3969"/>
      <c r="AD5" s="3970"/>
      <c r="AE5" s="3970"/>
      <c r="AF5" s="3970"/>
      <c r="AG5" s="3970"/>
      <c r="AH5" s="3970"/>
      <c r="AI5" s="3970"/>
      <c r="AJ5" s="3970"/>
    </row>
    <row r="6" spans="1:37" ht="23.25" customHeight="1">
      <c r="A6" s="221" t="s">
        <v>1376</v>
      </c>
      <c r="B6" s="222"/>
      <c r="C6" s="222"/>
      <c r="D6" s="222"/>
      <c r="E6" s="222"/>
      <c r="F6" s="222"/>
      <c r="G6" s="222"/>
      <c r="H6" s="222"/>
      <c r="I6" s="222"/>
      <c r="J6" s="222"/>
      <c r="K6" s="222"/>
      <c r="L6" s="222"/>
      <c r="M6" s="222"/>
      <c r="N6" s="222"/>
      <c r="O6" s="3063"/>
      <c r="P6" s="222"/>
      <c r="Q6" s="3063"/>
      <c r="R6" s="222"/>
      <c r="S6" s="222"/>
      <c r="T6" s="222"/>
      <c r="U6" s="222"/>
      <c r="V6" s="222"/>
      <c r="W6" s="222"/>
      <c r="X6" s="222"/>
      <c r="Y6" s="222"/>
      <c r="Z6" s="222"/>
      <c r="AA6" s="222"/>
      <c r="AB6" s="3063"/>
      <c r="AC6" s="3063"/>
      <c r="AD6" s="3063"/>
      <c r="AE6" s="3063"/>
      <c r="AF6" s="3063"/>
      <c r="AG6" s="3063"/>
      <c r="AI6" s="3063"/>
    </row>
    <row r="7" spans="1:37" ht="23.25" customHeight="1">
      <c r="A7" s="219" t="s">
        <v>1263</v>
      </c>
      <c r="B7" s="222"/>
      <c r="C7" s="222"/>
      <c r="D7" s="222"/>
      <c r="E7" s="222"/>
      <c r="F7" s="222"/>
      <c r="G7" s="222"/>
      <c r="H7" s="222"/>
      <c r="I7" s="222"/>
      <c r="J7" s="222"/>
      <c r="K7" s="222"/>
      <c r="L7" s="222"/>
      <c r="M7" s="222"/>
      <c r="N7" s="222"/>
      <c r="O7" s="3063"/>
      <c r="P7" s="222"/>
      <c r="Q7" s="3063"/>
      <c r="R7" s="222"/>
      <c r="S7" s="222"/>
      <c r="T7" s="222"/>
      <c r="U7" s="222"/>
      <c r="V7" s="222"/>
      <c r="W7" s="222"/>
      <c r="X7" s="222"/>
      <c r="Y7" s="222"/>
      <c r="Z7" s="222"/>
      <c r="AA7" s="222"/>
      <c r="AB7" s="3063"/>
      <c r="AC7" s="3063"/>
      <c r="AD7" s="3063"/>
      <c r="AE7" s="3063"/>
      <c r="AF7" s="3063"/>
      <c r="AG7" s="3063"/>
      <c r="AI7" s="3063"/>
    </row>
    <row r="8" spans="1:37" ht="16.5" customHeight="1">
      <c r="A8" s="222"/>
      <c r="B8" s="222"/>
      <c r="C8" s="222"/>
      <c r="D8" s="222"/>
      <c r="E8" s="222"/>
      <c r="F8" s="222"/>
      <c r="G8" s="222"/>
      <c r="H8" s="222"/>
      <c r="I8" s="222"/>
      <c r="J8" s="222"/>
      <c r="K8" s="222"/>
      <c r="L8" s="222"/>
      <c r="M8" s="222"/>
      <c r="N8" s="222"/>
      <c r="O8" s="3063"/>
      <c r="P8" s="222"/>
      <c r="Q8" s="3063"/>
      <c r="R8" s="222"/>
      <c r="S8" s="222"/>
      <c r="T8" s="222"/>
      <c r="U8" s="222"/>
      <c r="V8" s="222"/>
      <c r="W8" s="222"/>
      <c r="X8" s="222"/>
      <c r="Y8" s="222"/>
      <c r="Z8" s="222"/>
      <c r="AA8" s="222"/>
      <c r="AB8" s="3063"/>
      <c r="AC8" s="3063"/>
      <c r="AD8" s="3063"/>
      <c r="AE8" s="3063"/>
      <c r="AF8" s="3063"/>
      <c r="AG8" s="3063"/>
      <c r="AI8" s="3063"/>
    </row>
    <row r="9" spans="1:37" ht="16.5" customHeight="1">
      <c r="A9" s="222"/>
      <c r="B9" s="222"/>
      <c r="C9" s="222"/>
      <c r="D9" s="222"/>
      <c r="E9" s="222"/>
      <c r="F9" s="222"/>
      <c r="G9" s="222"/>
      <c r="H9" s="222"/>
      <c r="I9" s="222"/>
      <c r="J9" s="222"/>
      <c r="K9" s="222"/>
      <c r="L9" s="222"/>
      <c r="M9" s="222"/>
      <c r="N9" s="222"/>
      <c r="O9" s="3063"/>
      <c r="P9" s="222"/>
      <c r="Q9" s="3063"/>
      <c r="R9" s="222"/>
      <c r="S9" s="222"/>
      <c r="T9" s="222"/>
      <c r="U9" s="222"/>
      <c r="V9" s="222"/>
      <c r="W9" s="222"/>
      <c r="X9" s="222"/>
      <c r="Y9" s="222"/>
      <c r="Z9" s="222"/>
      <c r="AA9" s="222"/>
      <c r="AB9" s="3063"/>
      <c r="AC9" s="3063"/>
      <c r="AD9" s="3063"/>
      <c r="AE9" s="3063"/>
      <c r="AF9" s="3063"/>
      <c r="AG9" s="3063"/>
      <c r="AI9" s="3063"/>
    </row>
    <row r="10" spans="1:37" ht="16.5" customHeight="1">
      <c r="A10" s="222"/>
      <c r="B10" s="222"/>
      <c r="C10" s="222"/>
      <c r="D10" s="222"/>
      <c r="E10" s="222"/>
      <c r="F10" s="222"/>
      <c r="G10" s="222"/>
      <c r="H10" s="222"/>
      <c r="I10" s="222"/>
      <c r="J10" s="222"/>
      <c r="K10" s="222"/>
      <c r="L10" s="222"/>
      <c r="M10" s="222"/>
      <c r="N10" s="222"/>
      <c r="O10" s="3063"/>
      <c r="P10" s="222"/>
      <c r="Q10" s="3063"/>
      <c r="R10" s="222"/>
      <c r="S10" s="222"/>
      <c r="T10" s="222"/>
      <c r="U10" s="222"/>
      <c r="V10" s="222"/>
      <c r="W10" s="222"/>
      <c r="X10" s="222"/>
      <c r="Y10" s="222"/>
      <c r="Z10" s="222"/>
      <c r="AA10" s="222"/>
      <c r="AB10" s="3063"/>
      <c r="AC10" s="3063"/>
      <c r="AD10" s="3063"/>
      <c r="AE10" s="3063"/>
      <c r="AF10" s="3063"/>
      <c r="AG10" s="3063"/>
      <c r="AI10" s="3063"/>
    </row>
    <row r="11" spans="1:37" ht="16.5" customHeight="1">
      <c r="A11" s="222"/>
      <c r="B11" s="222"/>
      <c r="C11" s="222"/>
      <c r="D11" s="222"/>
      <c r="E11" s="222"/>
      <c r="F11" s="222"/>
      <c r="G11" s="222"/>
      <c r="H11" s="222"/>
      <c r="I11" s="222"/>
      <c r="J11" s="222"/>
      <c r="K11" s="222"/>
      <c r="L11" s="222"/>
      <c r="M11" s="222"/>
      <c r="N11" s="222"/>
      <c r="O11" s="3063"/>
      <c r="P11" s="222"/>
      <c r="Q11" s="3063"/>
      <c r="R11" s="222"/>
      <c r="S11" s="222"/>
      <c r="T11" s="222"/>
      <c r="U11" s="222"/>
      <c r="V11" s="222"/>
      <c r="W11" s="222"/>
      <c r="X11" s="222"/>
      <c r="Y11" s="222"/>
      <c r="Z11" s="222"/>
      <c r="AA11" s="222"/>
      <c r="AC11" s="3063"/>
      <c r="AD11" s="3063"/>
      <c r="AE11" s="3063"/>
      <c r="AF11" s="3063"/>
      <c r="AG11" s="3063"/>
      <c r="AI11" s="3063"/>
    </row>
    <row r="12" spans="1:37" ht="16.5" customHeight="1">
      <c r="A12" s="222"/>
      <c r="B12" s="222"/>
      <c r="C12" s="222" t="s">
        <v>14</v>
      </c>
      <c r="D12" s="222" t="s">
        <v>14</v>
      </c>
      <c r="E12" s="222"/>
      <c r="F12" s="222"/>
      <c r="G12" s="222"/>
      <c r="H12" s="222"/>
      <c r="I12" s="222"/>
      <c r="J12" s="222"/>
      <c r="K12" s="222"/>
      <c r="L12" s="222"/>
      <c r="M12" s="222"/>
      <c r="N12" s="222"/>
      <c r="O12" s="3063"/>
      <c r="P12" s="222"/>
      <c r="Q12" s="3063"/>
      <c r="R12" s="222"/>
      <c r="S12" s="222"/>
      <c r="T12" s="222"/>
      <c r="U12" s="222"/>
      <c r="V12" s="222"/>
      <c r="W12" s="222"/>
      <c r="X12" s="222"/>
      <c r="Z12" s="222"/>
      <c r="AA12" s="513"/>
      <c r="AB12" s="3971" t="s">
        <v>1572</v>
      </c>
      <c r="AC12" s="3972"/>
      <c r="AD12" s="3972"/>
      <c r="AE12" s="3972"/>
      <c r="AF12" s="3972"/>
      <c r="AG12" s="3972"/>
      <c r="AH12" s="3972"/>
      <c r="AI12" s="3972"/>
      <c r="AJ12" s="3972"/>
    </row>
    <row r="13" spans="1:37" ht="16.5" customHeight="1">
      <c r="A13" s="222"/>
      <c r="B13" s="222"/>
      <c r="C13" s="1527" t="s">
        <v>1377</v>
      </c>
      <c r="D13" s="511"/>
      <c r="E13" s="511"/>
      <c r="F13" s="511"/>
      <c r="G13" s="511"/>
      <c r="H13" s="511"/>
      <c r="I13" s="511"/>
      <c r="J13" s="511"/>
      <c r="K13" s="511"/>
      <c r="L13" s="511"/>
      <c r="M13" s="511"/>
      <c r="N13" s="511"/>
      <c r="O13" s="3064"/>
      <c r="P13" s="511"/>
      <c r="Q13" s="3064"/>
      <c r="R13" s="511"/>
      <c r="S13" s="511"/>
      <c r="T13" s="511"/>
      <c r="U13" s="1527">
        <v>2022</v>
      </c>
      <c r="V13" s="511"/>
      <c r="W13" s="511"/>
      <c r="X13" s="511"/>
      <c r="Y13" s="511"/>
      <c r="Z13" s="511"/>
      <c r="AA13" s="511"/>
      <c r="AB13" s="3064"/>
      <c r="AC13" s="3065"/>
      <c r="AD13" s="3065"/>
      <c r="AE13" s="3065"/>
      <c r="AF13" s="3064"/>
      <c r="AG13" s="3064"/>
      <c r="AH13" s="3258" t="s">
        <v>7</v>
      </c>
      <c r="AI13" s="3259"/>
      <c r="AJ13" s="3258" t="s">
        <v>8</v>
      </c>
    </row>
    <row r="14" spans="1:37" ht="16.5" customHeight="1">
      <c r="A14" s="222"/>
      <c r="B14" s="222"/>
      <c r="C14" s="734" t="s">
        <v>123</v>
      </c>
      <c r="D14" s="511"/>
      <c r="E14" s="734" t="s">
        <v>124</v>
      </c>
      <c r="F14" s="511"/>
      <c r="G14" s="734" t="s">
        <v>125</v>
      </c>
      <c r="H14" s="511"/>
      <c r="I14" s="734" t="s">
        <v>126</v>
      </c>
      <c r="J14" s="511"/>
      <c r="K14" s="734" t="s">
        <v>127</v>
      </c>
      <c r="L14" s="511"/>
      <c r="M14" s="734" t="s">
        <v>128</v>
      </c>
      <c r="N14" s="511"/>
      <c r="O14" s="3258" t="s">
        <v>129</v>
      </c>
      <c r="P14" s="511"/>
      <c r="Q14" s="3258" t="s">
        <v>130</v>
      </c>
      <c r="R14" s="511"/>
      <c r="S14" s="734" t="s">
        <v>131</v>
      </c>
      <c r="T14" s="511"/>
      <c r="U14" s="734" t="s">
        <v>132</v>
      </c>
      <c r="V14" s="511"/>
      <c r="W14" s="734" t="s">
        <v>133</v>
      </c>
      <c r="X14" s="511"/>
      <c r="Y14" s="734" t="s">
        <v>134</v>
      </c>
      <c r="Z14" s="511"/>
      <c r="AA14" s="511"/>
      <c r="AB14" s="3066">
        <v>2022</v>
      </c>
      <c r="AC14" s="3064"/>
      <c r="AD14" s="3064"/>
      <c r="AE14" s="3066">
        <v>2021</v>
      </c>
      <c r="AF14" s="3064"/>
      <c r="AG14" s="3064"/>
      <c r="AH14" s="3260" t="s">
        <v>11</v>
      </c>
      <c r="AI14" s="3259"/>
      <c r="AJ14" s="3260" t="s">
        <v>12</v>
      </c>
    </row>
    <row r="15" spans="1:37" ht="6" customHeight="1">
      <c r="A15" s="222"/>
      <c r="B15" s="222"/>
      <c r="C15" s="514"/>
      <c r="D15" s="222"/>
      <c r="E15" s="514"/>
      <c r="F15" s="222"/>
      <c r="G15" s="514"/>
      <c r="H15" s="222"/>
      <c r="I15" s="514"/>
      <c r="J15" s="222"/>
      <c r="K15" s="514"/>
      <c r="L15" s="222"/>
      <c r="M15" s="514"/>
      <c r="N15" s="222"/>
      <c r="O15" s="3067" t="s">
        <v>14</v>
      </c>
      <c r="P15" s="222"/>
      <c r="Q15" s="3067"/>
      <c r="R15" s="222"/>
      <c r="S15" s="514"/>
      <c r="T15" s="222"/>
      <c r="U15" s="514" t="s">
        <v>14</v>
      </c>
      <c r="V15" s="222"/>
      <c r="W15" s="514"/>
      <c r="X15" s="222"/>
      <c r="Y15" s="514"/>
      <c r="Z15" s="222"/>
      <c r="AA15" s="222"/>
      <c r="AB15" s="3067"/>
      <c r="AC15" s="3063"/>
      <c r="AD15" s="3063"/>
      <c r="AE15" s="3067"/>
      <c r="AF15" s="3063"/>
      <c r="AG15" s="3063"/>
      <c r="AI15" s="3063"/>
    </row>
    <row r="16" spans="1:37" ht="16.5" customHeight="1">
      <c r="A16" s="512" t="s">
        <v>135</v>
      </c>
      <c r="B16" s="222"/>
      <c r="C16" s="1711">
        <f>'Exhibit F'!D12+'Exhibit G'!D13+'Exhibit H'!B12+'Exhibit I'!E15</f>
        <v>18751.099999999999</v>
      </c>
      <c r="D16" s="515"/>
      <c r="E16" s="515">
        <f>'Exhibit F'!F12+'Exhibit G'!F13+'Exhibit H'!D12+'Exhibit I'!G15</f>
        <v>24932.2</v>
      </c>
      <c r="F16" s="515"/>
      <c r="G16" s="515">
        <f>'Exhibit F'!H12+'Exhibit G'!H13+'Exhibit H'!F12+'Exhibit I'!I15</f>
        <v>39815.199999999997</v>
      </c>
      <c r="H16" s="515"/>
      <c r="I16" s="515">
        <f>'Exhibit F'!J12+'Exhibit G'!J13+'Exhibit H'!H12+'Exhibit I'!K15</f>
        <v>41256.400000000001</v>
      </c>
      <c r="J16" s="515"/>
      <c r="K16" s="515">
        <f>'Exhibit F'!L12+'Exhibit G'!L13+'Exhibit H'!J12+'Exhibit I'!M15</f>
        <v>41722</v>
      </c>
      <c r="L16" s="515"/>
      <c r="M16" s="515">
        <f>'Exhibit F'!N12+'Exhibit G'!N13+'Exhibit H'!L12+'Exhibit I'!O15</f>
        <v>41672.800000000003</v>
      </c>
      <c r="N16" s="515"/>
      <c r="O16" s="515">
        <f>'Exhibit F'!P12+'Exhibit G'!P13+'Exhibit H'!N12+'Exhibit I'!Q15</f>
        <v>43570.8</v>
      </c>
      <c r="P16" s="515"/>
      <c r="Q16" s="515">
        <f>'Exhibit F'!R12+'Exhibit G'!R13+'Exhibit H'!P12+'Exhibit I'!S15</f>
        <v>43027.999999999993</v>
      </c>
      <c r="R16" s="515"/>
      <c r="S16" s="515">
        <f>'Exhibit F'!T12+'Exhibit G'!T13+'Exhibit H'!R12+'Exhibit I'!U15</f>
        <v>41967.399999999994</v>
      </c>
      <c r="T16" s="515"/>
      <c r="U16" s="515">
        <f>'Exhibit F'!V12+'Exhibit G'!V13+'Exhibit H'!T12+'Exhibit I'!W15</f>
        <v>56543.299999999996</v>
      </c>
      <c r="V16" s="515"/>
      <c r="W16" s="515"/>
      <c r="X16" s="515"/>
      <c r="Y16" s="515"/>
      <c r="Z16" s="515"/>
      <c r="AA16" s="516"/>
      <c r="AB16" s="1711">
        <f>C16</f>
        <v>18751.099999999999</v>
      </c>
      <c r="AC16" s="1711"/>
      <c r="AD16" s="3261"/>
      <c r="AE16" s="1711">
        <f>'Exhibit F'!AF12+'Exhibit G'!AG13+'Exhibit H'!AD12+'Exhibit I'!AI15</f>
        <v>14284.800000000001</v>
      </c>
      <c r="AF16" s="1711"/>
      <c r="AG16" s="1711"/>
      <c r="AH16" s="1711">
        <f>ROUND(SUM(AB16-AE16),1)</f>
        <v>4466.3</v>
      </c>
      <c r="AI16" s="3064"/>
      <c r="AJ16" s="3262">
        <f>ROUND(SUM(AH16/AE16),3)</f>
        <v>0.313</v>
      </c>
      <c r="AK16" s="3263"/>
    </row>
    <row r="17" spans="1:37" ht="16.5" customHeight="1">
      <c r="A17" s="222"/>
      <c r="B17" s="222"/>
      <c r="C17" s="222" t="s">
        <v>14</v>
      </c>
      <c r="D17" s="222"/>
      <c r="E17" s="517"/>
      <c r="F17" s="222"/>
      <c r="G17" s="517"/>
      <c r="H17" s="222"/>
      <c r="I17" s="517"/>
      <c r="J17" s="222"/>
      <c r="K17" s="517"/>
      <c r="L17" s="222"/>
      <c r="M17" s="517"/>
      <c r="N17" s="222"/>
      <c r="O17" s="3267"/>
      <c r="P17" s="222"/>
      <c r="Q17" s="3267"/>
      <c r="R17" s="222"/>
      <c r="S17" s="517"/>
      <c r="T17" s="222"/>
      <c r="U17" s="517"/>
      <c r="V17" s="222"/>
      <c r="W17" s="517"/>
      <c r="X17" s="222"/>
      <c r="Y17" s="517"/>
      <c r="Z17" s="222"/>
      <c r="AA17" s="518"/>
      <c r="AB17" s="3063" t="s">
        <v>14</v>
      </c>
      <c r="AC17" s="3063"/>
      <c r="AD17" s="3264"/>
      <c r="AE17" s="3063" t="s">
        <v>14</v>
      </c>
      <c r="AF17" s="3063"/>
      <c r="AG17" s="3063"/>
      <c r="AH17" s="879"/>
      <c r="AI17" s="3063"/>
      <c r="AJ17" s="879"/>
    </row>
    <row r="18" spans="1:37" ht="16.5" customHeight="1">
      <c r="A18" s="204" t="s">
        <v>13</v>
      </c>
      <c r="B18" s="222"/>
      <c r="C18" s="222"/>
      <c r="D18" s="222"/>
      <c r="E18" s="517"/>
      <c r="F18" s="222"/>
      <c r="G18" s="517"/>
      <c r="H18" s="222"/>
      <c r="I18" s="517"/>
      <c r="J18" s="222"/>
      <c r="K18" s="517"/>
      <c r="L18" s="222"/>
      <c r="M18" s="517"/>
      <c r="N18" s="222"/>
      <c r="O18" s="3267"/>
      <c r="P18" s="222"/>
      <c r="Q18" s="3267"/>
      <c r="R18" s="222"/>
      <c r="S18" s="517"/>
      <c r="T18" s="222"/>
      <c r="U18" s="517"/>
      <c r="V18" s="222"/>
      <c r="W18" s="517"/>
      <c r="X18" s="222"/>
      <c r="Y18" s="517"/>
      <c r="Z18" s="222"/>
      <c r="AA18" s="518"/>
      <c r="AB18" s="3063"/>
      <c r="AC18" s="3063"/>
      <c r="AD18" s="3264"/>
      <c r="AE18" s="3063"/>
      <c r="AF18" s="3063"/>
      <c r="AG18" s="3063"/>
      <c r="AH18" s="879"/>
      <c r="AI18" s="3063"/>
      <c r="AJ18" s="879"/>
    </row>
    <row r="19" spans="1:37" ht="16.5" customHeight="1">
      <c r="A19" s="258" t="s">
        <v>991</v>
      </c>
      <c r="B19" s="222"/>
      <c r="C19" s="222"/>
      <c r="D19" s="222"/>
      <c r="E19" s="517"/>
      <c r="F19" s="222"/>
      <c r="G19" s="517"/>
      <c r="H19" s="222"/>
      <c r="I19" s="517"/>
      <c r="J19" s="222"/>
      <c r="K19" s="517"/>
      <c r="L19" s="222"/>
      <c r="M19" s="517"/>
      <c r="N19" s="222"/>
      <c r="O19" s="3267"/>
      <c r="P19" s="222"/>
      <c r="Q19" s="3267"/>
      <c r="R19" s="222"/>
      <c r="S19" s="517"/>
      <c r="T19" s="222"/>
      <c r="U19" s="517"/>
      <c r="V19" s="222"/>
      <c r="W19" s="517"/>
      <c r="X19" s="222"/>
      <c r="Y19" s="517"/>
      <c r="Z19" s="222"/>
      <c r="AA19" s="518"/>
      <c r="AB19" s="3063"/>
      <c r="AC19" s="3063"/>
      <c r="AD19" s="3264"/>
      <c r="AE19" s="3063"/>
      <c r="AF19" s="3063"/>
      <c r="AG19" s="3063"/>
      <c r="AH19" s="879"/>
      <c r="AI19" s="3063"/>
      <c r="AJ19" s="879"/>
    </row>
    <row r="20" spans="1:37" ht="16.5" customHeight="1">
      <c r="A20" s="1039" t="s">
        <v>1255</v>
      </c>
      <c r="B20" s="661"/>
      <c r="C20" s="605"/>
      <c r="D20" s="605"/>
      <c r="E20" s="605"/>
      <c r="F20" s="605"/>
      <c r="G20" s="605"/>
      <c r="H20" s="222"/>
      <c r="I20" s="517"/>
      <c r="J20" s="222"/>
      <c r="K20" s="517"/>
      <c r="L20" s="222"/>
      <c r="M20" s="517"/>
      <c r="N20" s="222"/>
      <c r="O20" s="3267"/>
      <c r="P20" s="222"/>
      <c r="Q20" s="3267"/>
      <c r="R20" s="222"/>
      <c r="S20" s="517"/>
      <c r="T20" s="222"/>
      <c r="U20" s="517"/>
      <c r="V20" s="222"/>
      <c r="W20" s="517"/>
      <c r="X20" s="222"/>
      <c r="Y20" s="517"/>
      <c r="Z20" s="222"/>
      <c r="AA20" s="948"/>
      <c r="AB20" s="3063"/>
      <c r="AC20" s="3063"/>
      <c r="AD20" s="3264"/>
      <c r="AE20" s="3063"/>
      <c r="AF20" s="3063"/>
      <c r="AG20" s="3063"/>
      <c r="AH20" s="879"/>
      <c r="AI20" s="3063"/>
      <c r="AJ20" s="879"/>
    </row>
    <row r="21" spans="1:37" ht="16.5" customHeight="1">
      <c r="A21" s="661" t="s">
        <v>997</v>
      </c>
      <c r="B21" s="661"/>
      <c r="C21" s="358">
        <f>+'Exhibit F'!D17</f>
        <v>3601.8</v>
      </c>
      <c r="D21" s="607"/>
      <c r="E21" s="358">
        <f>+'Exhibit F'!F17</f>
        <v>3217.7</v>
      </c>
      <c r="F21" s="607"/>
      <c r="G21" s="358">
        <f>+'Exhibit F'!H17</f>
        <v>3702.6000000000004</v>
      </c>
      <c r="H21" s="519"/>
      <c r="I21" s="358">
        <f>+'Exhibit F'!J17</f>
        <v>3408.2</v>
      </c>
      <c r="J21" s="519"/>
      <c r="K21" s="358">
        <f>+'Exhibit F'!L17</f>
        <v>3778.4000000000005</v>
      </c>
      <c r="L21" s="222"/>
      <c r="M21" s="358">
        <f>+'Exhibit F'!N17</f>
        <v>3634.7999999999984</v>
      </c>
      <c r="N21" s="222"/>
      <c r="O21" s="358">
        <f>+'Exhibit F'!P17</f>
        <v>3459.6</v>
      </c>
      <c r="P21" s="222"/>
      <c r="Q21" s="358">
        <f>+'Exhibit F'!R17</f>
        <v>3963.5000000000018</v>
      </c>
      <c r="R21" s="222"/>
      <c r="S21" s="358">
        <f>+'Exhibit F'!T17</f>
        <v>5963.4999999999945</v>
      </c>
      <c r="T21" s="222"/>
      <c r="U21" s="358">
        <f>+'Exhibit F'!V17</f>
        <v>5740.0000000000055</v>
      </c>
      <c r="V21" s="222"/>
      <c r="W21" s="358"/>
      <c r="X21" s="222"/>
      <c r="Y21" s="358"/>
      <c r="Z21" s="222"/>
      <c r="AA21" s="948"/>
      <c r="AB21" s="1615">
        <f>ROUND(SUM(C21:Y21),1)</f>
        <v>40470.1</v>
      </c>
      <c r="AC21" s="3063"/>
      <c r="AD21" s="3264"/>
      <c r="AE21" s="3265">
        <f>+'Exhibit F'!AF17</f>
        <v>33862.300000000003</v>
      </c>
      <c r="AF21" s="3063"/>
      <c r="AG21" s="3063"/>
      <c r="AH21" s="883">
        <f>ROUND(SUM(+AB21-AE21),1)</f>
        <v>6607.8</v>
      </c>
      <c r="AI21" s="3266"/>
      <c r="AJ21" s="1704">
        <f>ROUND(IF(AE21=0,0,AH21/ABS(AE21)),3)</f>
        <v>0.19500000000000001</v>
      </c>
    </row>
    <row r="22" spans="1:37" ht="16.5" customHeight="1">
      <c r="A22" s="661" t="s">
        <v>1253</v>
      </c>
      <c r="B22" s="665"/>
      <c r="C22" s="358">
        <f>+'Exhibit F'!D18</f>
        <v>3342.2000000000003</v>
      </c>
      <c r="D22" s="607"/>
      <c r="E22" s="358">
        <f>+'Exhibit F'!F18</f>
        <v>6128.6999999999989</v>
      </c>
      <c r="F22" s="607"/>
      <c r="G22" s="358">
        <f>+'Exhibit F'!H18</f>
        <v>2740.7000000000007</v>
      </c>
      <c r="H22" s="519"/>
      <c r="I22" s="358">
        <f>+'Exhibit F'!J18</f>
        <v>147.10000000000036</v>
      </c>
      <c r="J22" s="519"/>
      <c r="K22" s="358">
        <f>+'Exhibit F'!L18</f>
        <v>131.09999999999854</v>
      </c>
      <c r="L22" s="222"/>
      <c r="M22" s="358">
        <f>+'Exhibit F'!N18</f>
        <v>3241.9000000000015</v>
      </c>
      <c r="N22" s="222"/>
      <c r="O22" s="358">
        <f>+'Exhibit F'!P18</f>
        <v>187.79999999999927</v>
      </c>
      <c r="P22" s="222"/>
      <c r="Q22" s="358">
        <f>+'Exhibit F'!R18</f>
        <v>119.89999999999964</v>
      </c>
      <c r="R22" s="222"/>
      <c r="S22" s="358">
        <f>+'Exhibit F'!T18</f>
        <v>516.30000000000109</v>
      </c>
      <c r="T22" s="222"/>
      <c r="U22" s="358">
        <f>+'Exhibit F'!V18</f>
        <v>4677.2000000000007</v>
      </c>
      <c r="V22" s="222"/>
      <c r="W22" s="358"/>
      <c r="X22" s="222"/>
      <c r="Y22" s="358"/>
      <c r="Z22" s="222"/>
      <c r="AA22" s="948"/>
      <c r="AB22" s="1615">
        <f>ROUND(SUM(C22:Y22),1)</f>
        <v>21232.9</v>
      </c>
      <c r="AC22" s="3063"/>
      <c r="AD22" s="3264"/>
      <c r="AE22" s="3265">
        <f>+'Exhibit F'!AF18</f>
        <v>16157.9</v>
      </c>
      <c r="AF22" s="3063"/>
      <c r="AG22" s="3063"/>
      <c r="AH22" s="883">
        <f>ROUND(SUM(+AB22-AE22),1)</f>
        <v>5075</v>
      </c>
      <c r="AI22" s="3266"/>
      <c r="AJ22" s="3269">
        <f>ROUND(IF(AE22=0,0,AH22/ABS(AE22)),3)</f>
        <v>0.314</v>
      </c>
    </row>
    <row r="23" spans="1:37" ht="16.5" customHeight="1">
      <c r="A23" s="661" t="s">
        <v>998</v>
      </c>
      <c r="B23" s="661"/>
      <c r="C23" s="358">
        <f>+'Exhibit F'!D19</f>
        <v>913.6</v>
      </c>
      <c r="D23" s="607"/>
      <c r="E23" s="358">
        <f>+'Exhibit F'!F19</f>
        <v>2184.3000000000002</v>
      </c>
      <c r="F23" s="607"/>
      <c r="G23" s="358">
        <f>+'Exhibit F'!H19</f>
        <v>139.59999999999991</v>
      </c>
      <c r="H23" s="519"/>
      <c r="I23" s="358">
        <f>+'Exhibit F'!J19</f>
        <v>65</v>
      </c>
      <c r="J23" s="519"/>
      <c r="K23" s="358">
        <f>+'Exhibit F'!L19</f>
        <v>59.900000000000091</v>
      </c>
      <c r="L23" s="222"/>
      <c r="M23" s="358">
        <f>+'Exhibit F'!N19</f>
        <v>77.5</v>
      </c>
      <c r="N23" s="222"/>
      <c r="O23" s="358">
        <f>+'Exhibit F'!P19</f>
        <v>578.5</v>
      </c>
      <c r="P23" s="222"/>
      <c r="Q23" s="358">
        <f>+'Exhibit F'!R19</f>
        <v>75.199999999999818</v>
      </c>
      <c r="R23" s="222"/>
      <c r="S23" s="358">
        <f>+'Exhibit F'!T19</f>
        <v>44.400000000000091</v>
      </c>
      <c r="T23" s="222"/>
      <c r="U23" s="358">
        <f>+'Exhibit F'!V19</f>
        <v>51.899999999999636</v>
      </c>
      <c r="V23" s="222"/>
      <c r="W23" s="358"/>
      <c r="X23" s="222"/>
      <c r="Y23" s="358"/>
      <c r="Z23" s="222"/>
      <c r="AA23" s="948"/>
      <c r="AB23" s="1615">
        <f>ROUND(SUM(C23:Y23),1)</f>
        <v>4189.8999999999996</v>
      </c>
      <c r="AC23" s="3063"/>
      <c r="AD23" s="3264"/>
      <c r="AE23" s="3265">
        <f>+'Exhibit F'!AF19</f>
        <v>3276.7</v>
      </c>
      <c r="AF23" s="3063"/>
      <c r="AG23" s="3063"/>
      <c r="AH23" s="883">
        <f>ROUND(SUM(+AB23-AE23),1)</f>
        <v>913.2</v>
      </c>
      <c r="AI23" s="3266"/>
      <c r="AJ23" s="1704">
        <f>ROUND(IF(AE23=0,0,AH23/ABS(AE23)),3)</f>
        <v>0.27900000000000003</v>
      </c>
    </row>
    <row r="24" spans="1:37" ht="16.5" customHeight="1">
      <c r="A24" s="1064" t="s">
        <v>999</v>
      </c>
      <c r="B24" s="661"/>
      <c r="C24" s="358">
        <f>+'Exhibit F'!D20</f>
        <v>-203</v>
      </c>
      <c r="D24" s="607"/>
      <c r="E24" s="358">
        <f>+'Exhibit F'!F20</f>
        <v>-264.7</v>
      </c>
      <c r="F24" s="607"/>
      <c r="G24" s="358">
        <f>+'Exhibit F'!H20</f>
        <v>-21.600000000000023</v>
      </c>
      <c r="H24" s="519"/>
      <c r="I24" s="358">
        <f>+'Exhibit F'!J20</f>
        <v>-31.800000000000011</v>
      </c>
      <c r="J24" s="519"/>
      <c r="K24" s="358">
        <f>+'Exhibit F'!L20</f>
        <v>-19.100000000000023</v>
      </c>
      <c r="L24" s="222"/>
      <c r="M24" s="358">
        <f>+'Exhibit F'!N20</f>
        <v>-28.099999999999909</v>
      </c>
      <c r="N24" s="222"/>
      <c r="O24" s="358">
        <f>+'Exhibit F'!P20</f>
        <v>-242.80000000000007</v>
      </c>
      <c r="P24" s="222"/>
      <c r="Q24" s="358">
        <f>+'Exhibit F'!R20</f>
        <v>-44.799999999999955</v>
      </c>
      <c r="R24" s="222"/>
      <c r="S24" s="358">
        <f>+'Exhibit F'!T20</f>
        <v>-4.8999999999999773</v>
      </c>
      <c r="T24" s="222"/>
      <c r="U24" s="358">
        <f>+'Exhibit F'!V20</f>
        <v>-79.700000000000045</v>
      </c>
      <c r="V24" s="222"/>
      <c r="W24" s="358"/>
      <c r="X24" s="222"/>
      <c r="Y24" s="358"/>
      <c r="Z24" s="222"/>
      <c r="AA24" s="948"/>
      <c r="AB24" s="1615">
        <f t="shared" ref="AB24:AB30" si="0">ROUND(SUM(C24:Y24),1)</f>
        <v>-940.5</v>
      </c>
      <c r="AC24" s="3063"/>
      <c r="AD24" s="3264"/>
      <c r="AE24" s="3265">
        <f>+'Exhibit F'!AF20</f>
        <v>-1027.4000000000001</v>
      </c>
      <c r="AF24" s="3063"/>
      <c r="AG24" s="3063"/>
      <c r="AH24" s="883">
        <f>-ROUND(SUM(+AB24-AE24),1)</f>
        <v>-86.9</v>
      </c>
      <c r="AI24" s="3266"/>
      <c r="AJ24" s="1703">
        <f>ROUND(IF(AE24=0,0,AH24/ABS(AE24)),3)</f>
        <v>-8.5000000000000006E-2</v>
      </c>
    </row>
    <row r="25" spans="1:37" ht="16.5" customHeight="1">
      <c r="A25" s="1064" t="s">
        <v>1252</v>
      </c>
      <c r="B25" s="661"/>
      <c r="C25" s="358">
        <f>+'Exhibit F'!D21</f>
        <v>154.1</v>
      </c>
      <c r="D25" s="607"/>
      <c r="E25" s="358">
        <f>+'Exhibit F'!F21</f>
        <v>87.200000000000017</v>
      </c>
      <c r="F25" s="607"/>
      <c r="G25" s="358">
        <f>+'Exhibit F'!H21</f>
        <v>111.30000000000001</v>
      </c>
      <c r="H25" s="519"/>
      <c r="I25" s="358">
        <f>+'Exhibit F'!J21</f>
        <v>91.899999999999949</v>
      </c>
      <c r="J25" s="519"/>
      <c r="K25" s="358">
        <f>+'Exhibit F'!L21</f>
        <v>112.39999999999995</v>
      </c>
      <c r="L25" s="222"/>
      <c r="M25" s="358">
        <f>+'Exhibit F'!N21</f>
        <v>104.20000000000002</v>
      </c>
      <c r="N25" s="222"/>
      <c r="O25" s="358">
        <f>+'Exhibit F'!P21</f>
        <v>118.1</v>
      </c>
      <c r="P25" s="222"/>
      <c r="Q25" s="358">
        <f>+'Exhibit F'!R21</f>
        <v>121.40000000000003</v>
      </c>
      <c r="R25" s="222"/>
      <c r="S25" s="358">
        <f>+'Exhibit F'!T21</f>
        <v>121.69999999999979</v>
      </c>
      <c r="T25" s="222"/>
      <c r="U25" s="358">
        <f>+'Exhibit F'!V21</f>
        <v>145.10000000000008</v>
      </c>
      <c r="V25" s="222"/>
      <c r="W25" s="358"/>
      <c r="X25" s="222"/>
      <c r="Y25" s="358"/>
      <c r="Z25" s="222"/>
      <c r="AA25" s="948"/>
      <c r="AB25" s="1615">
        <f t="shared" si="0"/>
        <v>1167.4000000000001</v>
      </c>
      <c r="AC25" s="3063"/>
      <c r="AD25" s="3264"/>
      <c r="AE25" s="3265">
        <f>+'Exhibit F'!AF21</f>
        <v>966.1</v>
      </c>
      <c r="AF25" s="3063"/>
      <c r="AG25" s="3063"/>
      <c r="AH25" s="883">
        <f>ROUND(SUM(+AB25-AE25),1)</f>
        <v>201.3</v>
      </c>
      <c r="AI25" s="3266"/>
      <c r="AJ25" s="1703">
        <f t="shared" ref="AJ25:AJ30" si="1">ROUND(IF(AE25=0,0,AH25/ABS(AE25)),3)</f>
        <v>0.20799999999999999</v>
      </c>
    </row>
    <row r="26" spans="1:37" ht="16.5" customHeight="1">
      <c r="A26" s="662" t="s">
        <v>1000</v>
      </c>
      <c r="B26" s="662"/>
      <c r="C26" s="664">
        <f>ROUND(SUM(C21:C25),1)</f>
        <v>7808.7</v>
      </c>
      <c r="D26" s="23"/>
      <c r="E26" s="664">
        <f>ROUND(SUM(E21:E25),1)</f>
        <v>11353.2</v>
      </c>
      <c r="F26" s="23"/>
      <c r="G26" s="664">
        <f>ROUND(SUM(G21:G25),1)</f>
        <v>6672.6</v>
      </c>
      <c r="H26" s="222"/>
      <c r="I26" s="874">
        <f>ROUND(SUM(I21:I25),1)</f>
        <v>3680.4</v>
      </c>
      <c r="J26" s="222"/>
      <c r="K26" s="874">
        <f>ROUND(SUM(K21:K25),1)</f>
        <v>4062.7</v>
      </c>
      <c r="L26" s="222"/>
      <c r="M26" s="874">
        <f>ROUND(SUM(M21:M25),1)</f>
        <v>7030.3</v>
      </c>
      <c r="N26" s="222"/>
      <c r="O26" s="3069">
        <f>ROUND(SUM(O21:O25),1)</f>
        <v>4101.2</v>
      </c>
      <c r="P26" s="222"/>
      <c r="Q26" s="3069">
        <f>ROUND(SUM(Q21:Q25),1)</f>
        <v>4235.2</v>
      </c>
      <c r="R26" s="222"/>
      <c r="S26" s="874">
        <f>ROUND(SUM(S21:S25),1)</f>
        <v>6641</v>
      </c>
      <c r="T26" s="222"/>
      <c r="U26" s="874">
        <f>ROUND(SUM(U21:U25),1)</f>
        <v>10534.5</v>
      </c>
      <c r="V26" s="222"/>
      <c r="W26" s="874">
        <f>ROUND(SUM(W21:W25),1)</f>
        <v>0</v>
      </c>
      <c r="X26" s="222"/>
      <c r="Y26" s="874">
        <f>ROUND(SUM(Y21:Y25),1)</f>
        <v>0</v>
      </c>
      <c r="Z26" s="222"/>
      <c r="AA26" s="948"/>
      <c r="AB26" s="3068">
        <f>ROUND(SUM(C26:Y26),1)</f>
        <v>66119.8</v>
      </c>
      <c r="AC26" s="3063"/>
      <c r="AD26" s="3264"/>
      <c r="AE26" s="3069">
        <f>ROUND(SUM(AE21:AE25),1)</f>
        <v>53235.6</v>
      </c>
      <c r="AF26" s="3063"/>
      <c r="AG26" s="3063"/>
      <c r="AH26" s="1519">
        <f>ROUND(SUM(AB26-AE26),1)</f>
        <v>12884.2</v>
      </c>
      <c r="AI26" s="3266"/>
      <c r="AJ26" s="2175">
        <f t="shared" si="1"/>
        <v>0.24199999999999999</v>
      </c>
      <c r="AK26" s="294" t="s">
        <v>14</v>
      </c>
    </row>
    <row r="27" spans="1:37" ht="16.5" customHeight="1">
      <c r="A27" s="1064" t="s">
        <v>1002</v>
      </c>
      <c r="B27" s="661"/>
      <c r="C27" s="1353">
        <v>0</v>
      </c>
      <c r="D27" s="608"/>
      <c r="E27" s="1353">
        <v>0</v>
      </c>
      <c r="F27" s="608"/>
      <c r="G27" s="1353">
        <v>0</v>
      </c>
      <c r="H27" s="1423"/>
      <c r="I27" s="358">
        <f>+'Exhibit F'!J23</f>
        <v>0</v>
      </c>
      <c r="J27" s="1423"/>
      <c r="K27" s="358">
        <f>+'Exhibit F'!L23</f>
        <v>0</v>
      </c>
      <c r="L27" s="1424"/>
      <c r="M27" s="358">
        <f>+'Exhibit F'!N23</f>
        <v>0</v>
      </c>
      <c r="N27" s="1424"/>
      <c r="O27" s="358">
        <f>+'Exhibit F'!P23+'Exhibit G'!P17</f>
        <v>0</v>
      </c>
      <c r="P27" s="222"/>
      <c r="Q27" s="358">
        <f>+'Exhibit F'!R23+'Exhibit G'!R17</f>
        <v>0</v>
      </c>
      <c r="R27" s="222"/>
      <c r="S27" s="358">
        <f>+'Exhibit F'!T23+'Exhibit G'!T17</f>
        <v>0</v>
      </c>
      <c r="T27" s="222"/>
      <c r="U27" s="358">
        <f>+'Exhibit F'!V23+'Exhibit G'!V17</f>
        <v>0</v>
      </c>
      <c r="V27" s="222"/>
      <c r="W27" s="1353"/>
      <c r="X27" s="222"/>
      <c r="Y27" s="1353"/>
      <c r="Z27" s="222"/>
      <c r="AA27" s="948"/>
      <c r="AB27" s="1615">
        <f t="shared" si="0"/>
        <v>0</v>
      </c>
      <c r="AC27" s="3063"/>
      <c r="AD27" s="3264"/>
      <c r="AE27" s="3769">
        <f>+'Exhibit F'!AF23+'Exhibit G'!AG17</f>
        <v>0</v>
      </c>
      <c r="AF27" s="3063"/>
      <c r="AG27" s="3063"/>
      <c r="AH27" s="883">
        <f>ROUND(SUM(+AB27-AE27),1)</f>
        <v>0</v>
      </c>
      <c r="AI27" s="3266"/>
      <c r="AJ27" s="1703">
        <f t="shared" si="1"/>
        <v>0</v>
      </c>
    </row>
    <row r="28" spans="1:37" ht="16.5" customHeight="1">
      <c r="A28" s="1064" t="s">
        <v>1003</v>
      </c>
      <c r="B28" s="661"/>
      <c r="C28" s="610">
        <f>'Exhibit F'!D24+'Exhibit H'!B16</f>
        <v>0</v>
      </c>
      <c r="D28" s="608"/>
      <c r="E28" s="610">
        <f>'Exhibit F'!F24+'Exhibit H'!D16</f>
        <v>0</v>
      </c>
      <c r="F28" s="608"/>
      <c r="G28" s="610">
        <f>'Exhibit F'!H24+'Exhibit H'!F16</f>
        <v>0</v>
      </c>
      <c r="H28" s="1423"/>
      <c r="I28" s="358">
        <f>+'Exhibit F'!J24+'Exhibit H'!H16</f>
        <v>0</v>
      </c>
      <c r="J28" s="1423"/>
      <c r="K28" s="358">
        <f>+'Exhibit F'!L24+'Exhibit H'!J16</f>
        <v>0</v>
      </c>
      <c r="L28" s="1424"/>
      <c r="M28" s="358">
        <f>+'Exhibit F'!N24+'Exhibit H'!L16</f>
        <v>0</v>
      </c>
      <c r="N28" s="1424"/>
      <c r="O28" s="358">
        <f>+'Exhibit F'!P24+'Exhibit H'!N16</f>
        <v>0</v>
      </c>
      <c r="P28" s="222"/>
      <c r="Q28" s="358">
        <f>+'Exhibit F'!R24+'Exhibit H'!P16</f>
        <v>0</v>
      </c>
      <c r="R28" s="222"/>
      <c r="S28" s="358">
        <f>+'Exhibit F'!T24+'Exhibit H'!R16</f>
        <v>0</v>
      </c>
      <c r="T28" s="222"/>
      <c r="U28" s="358">
        <f>+'Exhibit F'!V24+'Exhibit H'!T16</f>
        <v>0</v>
      </c>
      <c r="V28" s="222"/>
      <c r="W28" s="610"/>
      <c r="X28" s="222"/>
      <c r="Y28" s="610"/>
      <c r="Z28" s="222"/>
      <c r="AA28" s="948"/>
      <c r="AB28" s="1615">
        <f>ROUND(SUM(C28:Y28),1)</f>
        <v>0</v>
      </c>
      <c r="AC28" s="3063"/>
      <c r="AD28" s="3264"/>
      <c r="AE28" s="1769">
        <f>+'Exhibit F'!AF24+'Exhibit H'!AD16</f>
        <v>0</v>
      </c>
      <c r="AF28" s="3063"/>
      <c r="AG28" s="3063"/>
      <c r="AH28" s="883">
        <f>ROUND(SUM(+AB28-AE28),1)</f>
        <v>0</v>
      </c>
      <c r="AI28" s="3266"/>
      <c r="AJ28" s="1703">
        <f>ROUND(IF(AE28=0,0,AH28/ABS(AE28)),3)</f>
        <v>0</v>
      </c>
    </row>
    <row r="29" spans="1:37" ht="16.5" customHeight="1">
      <c r="A29" s="661" t="s">
        <v>1254</v>
      </c>
      <c r="B29" s="661"/>
      <c r="C29" s="358">
        <f>+'Exhibit F'!D25</f>
        <v>-1282.9000000000001</v>
      </c>
      <c r="D29" s="607"/>
      <c r="E29" s="358">
        <f>+'Exhibit F'!F25</f>
        <v>-1520.1999999999998</v>
      </c>
      <c r="F29" s="607"/>
      <c r="G29" s="358">
        <f>+'Exhibit F'!H25</f>
        <v>-852</v>
      </c>
      <c r="H29" s="519"/>
      <c r="I29" s="358">
        <f>+'Exhibit F'!J25</f>
        <v>-315.80000000000018</v>
      </c>
      <c r="J29" s="519"/>
      <c r="K29" s="358">
        <f>+'Exhibit F'!L25</f>
        <v>-261.29999999999973</v>
      </c>
      <c r="L29" s="222"/>
      <c r="M29" s="358">
        <f>+'Exhibit F'!N25</f>
        <v>-580.5</v>
      </c>
      <c r="N29" s="222"/>
      <c r="O29" s="358">
        <f>+'Exhibit F'!P25</f>
        <v>-724.80000000000064</v>
      </c>
      <c r="P29" s="222"/>
      <c r="Q29" s="358">
        <f>+'Exhibit F'!R25</f>
        <v>-654.10000000000036</v>
      </c>
      <c r="R29" s="222"/>
      <c r="S29" s="358">
        <f>+'Exhibit F'!T25</f>
        <v>-354.69999999999891</v>
      </c>
      <c r="T29" s="222"/>
      <c r="U29" s="358">
        <f>+'Exhibit F'!V25</f>
        <v>-101.5</v>
      </c>
      <c r="V29" s="222"/>
      <c r="W29" s="358"/>
      <c r="X29" s="222"/>
      <c r="Y29" s="358"/>
      <c r="Z29" s="222"/>
      <c r="AA29" s="948"/>
      <c r="AB29" s="1615">
        <f t="shared" si="0"/>
        <v>-6647.8</v>
      </c>
      <c r="AC29" s="3063"/>
      <c r="AD29" s="3264"/>
      <c r="AE29" s="3265">
        <f>+'Exhibit F'!AF25</f>
        <v>-6984.4</v>
      </c>
      <c r="AF29" s="3063"/>
      <c r="AG29" s="3063"/>
      <c r="AH29" s="883">
        <f>-ROUND(SUM(+AB29-AE29),1)</f>
        <v>-336.6</v>
      </c>
      <c r="AI29" s="3266"/>
      <c r="AJ29" s="1703">
        <f t="shared" si="1"/>
        <v>-4.8000000000000001E-2</v>
      </c>
    </row>
    <row r="30" spans="1:37" ht="16.5" customHeight="1">
      <c r="A30" s="307" t="s">
        <v>1001</v>
      </c>
      <c r="B30" s="661"/>
      <c r="C30" s="874">
        <f>ROUND(SUM(C26)+SUM(C27)+SUM(C28)+SUM(C29),1)</f>
        <v>6525.8</v>
      </c>
      <c r="D30" s="23"/>
      <c r="E30" s="874">
        <f>ROUND(SUM(E26)+SUM(E27)+SUM(E28)+SUM(E29),1)</f>
        <v>9833</v>
      </c>
      <c r="F30" s="23"/>
      <c r="G30" s="874">
        <f>ROUND(SUM(G26)+SUM(G27)+SUM(G28)+SUM(G29),1)</f>
        <v>5820.6</v>
      </c>
      <c r="H30" s="222"/>
      <c r="I30" s="874">
        <f>ROUND(SUM(I26)+SUM(I27)+SUM(I28)+SUM(I29),1)</f>
        <v>3364.6</v>
      </c>
      <c r="J30" s="222"/>
      <c r="K30" s="874">
        <f>ROUND(SUM(K26)+SUM(K27)+SUM(K28)+SUM(K29),1)</f>
        <v>3801.4</v>
      </c>
      <c r="L30" s="222"/>
      <c r="M30" s="874">
        <f>ROUND(SUM(M26)+SUM(M27)+SUM(M28)+SUM(M29),1)</f>
        <v>6449.8</v>
      </c>
      <c r="N30" s="222"/>
      <c r="O30" s="3069">
        <f>ROUND(SUM(O26)+SUM(O27)+SUM(O28)+SUM(O29),1)</f>
        <v>3376.4</v>
      </c>
      <c r="P30" s="222"/>
      <c r="Q30" s="3069">
        <f>ROUND(SUM(Q26)+SUM(Q27)+SUM(Q28)+SUM(Q29),1)</f>
        <v>3581.1</v>
      </c>
      <c r="R30" s="222"/>
      <c r="S30" s="874">
        <f>ROUND(SUM(S26)+SUM(S27)+SUM(S28)+SUM(S29),1)</f>
        <v>6286.3</v>
      </c>
      <c r="T30" s="222"/>
      <c r="U30" s="874">
        <f>ROUND(SUM(U26)+SUM(U27)+SUM(U28)+SUM(U29),1)</f>
        <v>10433</v>
      </c>
      <c r="V30" s="222"/>
      <c r="W30" s="874">
        <f>ROUND(SUM(W26)+SUM(W27)+SUM(W28)+SUM(W29),1)</f>
        <v>0</v>
      </c>
      <c r="X30" s="222"/>
      <c r="Y30" s="874">
        <f>ROUND(SUM(Y26)+SUM(Y27)+SUM(Y28)+SUM(Y29),1)</f>
        <v>0</v>
      </c>
      <c r="Z30" s="222"/>
      <c r="AA30" s="948"/>
      <c r="AB30" s="3068">
        <f t="shared" si="0"/>
        <v>59472</v>
      </c>
      <c r="AC30" s="3063"/>
      <c r="AD30" s="3264"/>
      <c r="AE30" s="3069">
        <f>ROUND(SUM(AE26)+SUM(AE27)+SUM(AE28)+SUM(AE29),1)</f>
        <v>46251.199999999997</v>
      </c>
      <c r="AF30" s="3063"/>
      <c r="AG30" s="3063"/>
      <c r="AH30" s="1519">
        <f>ROUND(SUM(AH26+AH27+AH28-AH29),1)</f>
        <v>13220.8</v>
      </c>
      <c r="AI30" s="1012"/>
      <c r="AJ30" s="2175">
        <f t="shared" si="1"/>
        <v>0.28599999999999998</v>
      </c>
      <c r="AK30" s="294" t="s">
        <v>14</v>
      </c>
    </row>
    <row r="31" spans="1:37" ht="16.5" customHeight="1">
      <c r="A31" s="1039" t="s">
        <v>1050</v>
      </c>
      <c r="B31" s="665"/>
      <c r="C31" s="604"/>
      <c r="D31" s="604"/>
      <c r="E31" s="604"/>
      <c r="F31" s="604"/>
      <c r="G31" s="604"/>
      <c r="H31" s="222"/>
      <c r="I31" s="604"/>
      <c r="J31" s="222"/>
      <c r="K31" s="604"/>
      <c r="L31" s="222"/>
      <c r="M31" s="604"/>
      <c r="N31" s="222"/>
      <c r="O31" s="3349"/>
      <c r="P31" s="222"/>
      <c r="Q31" s="3349"/>
      <c r="R31" s="222"/>
      <c r="S31" s="604"/>
      <c r="T31" s="222"/>
      <c r="U31" s="604"/>
      <c r="V31" s="222"/>
      <c r="W31" s="604"/>
      <c r="X31" s="222"/>
      <c r="Y31" s="604"/>
      <c r="Z31" s="222"/>
      <c r="AA31" s="948"/>
      <c r="AB31" s="3063"/>
      <c r="AC31" s="3063"/>
      <c r="AD31" s="3264"/>
      <c r="AE31" s="3267"/>
      <c r="AF31" s="3063"/>
      <c r="AG31" s="3063"/>
      <c r="AH31" s="112"/>
      <c r="AI31" s="1012"/>
      <c r="AJ31" s="3268"/>
    </row>
    <row r="32" spans="1:37" ht="16.5" customHeight="1">
      <c r="A32" s="661" t="s">
        <v>1006</v>
      </c>
      <c r="B32" s="665"/>
      <c r="C32" s="358">
        <f>+'Exhibit F'!D28+'Exhibit G'!D20+'Exhibit H'!B19</f>
        <v>1297.4000000000001</v>
      </c>
      <c r="D32" s="607"/>
      <c r="E32" s="358">
        <f>+'Exhibit F'!F28+'Exhibit G'!F20+'Exhibit H'!D19</f>
        <v>1261.4000000000001</v>
      </c>
      <c r="F32" s="607"/>
      <c r="G32" s="358">
        <f>+'Exhibit F'!H28+'Exhibit G'!H20+'Exhibit H'!F19</f>
        <v>1711.6999999999998</v>
      </c>
      <c r="H32" s="519"/>
      <c r="I32" s="358">
        <f>+'Exhibit F'!J28+'Exhibit G'!J20+'Exhibit H'!H19</f>
        <v>1382.9000000000003</v>
      </c>
      <c r="J32" s="519"/>
      <c r="K32" s="358">
        <f>+'Exhibit F'!L28+'Exhibit G'!L20+'Exhibit H'!J19</f>
        <v>1334.7999999999993</v>
      </c>
      <c r="L32" s="222"/>
      <c r="M32" s="358">
        <f>+'Exhibit F'!N28+'Exhibit G'!N20+'Exhibit H'!L19</f>
        <v>1739.7000000000012</v>
      </c>
      <c r="N32" s="222"/>
      <c r="O32" s="358">
        <f>+'Exhibit F'!P28+'Exhibit G'!P20+'Exhibit H'!N19</f>
        <v>1343.6999999999991</v>
      </c>
      <c r="P32" s="222"/>
      <c r="Q32" s="358">
        <f>+'Exhibit F'!R28+'Exhibit G'!R20+'Exhibit H'!P19</f>
        <v>1381.9000000000003</v>
      </c>
      <c r="R32" s="222"/>
      <c r="S32" s="358">
        <f>+'Exhibit F'!T28+'Exhibit G'!T20+'Exhibit H'!R19</f>
        <v>1755.2999999999997</v>
      </c>
      <c r="T32" s="222"/>
      <c r="U32" s="358">
        <f>+'Exhibit F'!V28+'Exhibit G'!V20+'Exhibit H'!T19</f>
        <v>1483.9000000000008</v>
      </c>
      <c r="V32" s="222"/>
      <c r="W32" s="358"/>
      <c r="X32" s="222"/>
      <c r="Y32" s="358"/>
      <c r="Z32" s="222"/>
      <c r="AA32" s="948"/>
      <c r="AB32" s="1615">
        <f t="shared" ref="AB32:AB40" si="2">ROUND(SUM(C32:Y32),1)</f>
        <v>14692.7</v>
      </c>
      <c r="AC32" s="3063"/>
      <c r="AD32" s="3264"/>
      <c r="AE32" s="3265">
        <f>+'Exhibit F'!AF28+'Exhibit G'!AG20+'Exhibit H'!AD19</f>
        <v>11777.5</v>
      </c>
      <c r="AF32" s="3063"/>
      <c r="AG32" s="3063"/>
      <c r="AH32" s="883">
        <f t="shared" ref="AH32:AH38" si="3">ROUND(SUM(+AB32-AE32),1)</f>
        <v>2915.2</v>
      </c>
      <c r="AI32" s="1012"/>
      <c r="AJ32" s="1704">
        <f t="shared" ref="AJ32:AJ41" si="4">ROUND(IF(AE32=0,0,AH32/ABS(AE32)),3)</f>
        <v>0.248</v>
      </c>
    </row>
    <row r="33" spans="1:36" ht="16.5" customHeight="1">
      <c r="A33" s="661" t="s">
        <v>1007</v>
      </c>
      <c r="B33" s="665"/>
      <c r="C33" s="358">
        <f>+'Exhibit F'!D29+'Exhibit G'!D21+'Exhibit I'!E20</f>
        <v>1.9000000000000001</v>
      </c>
      <c r="D33" s="607"/>
      <c r="E33" s="358">
        <f>+'Exhibit F'!F29+'Exhibit G'!F21+'Exhibit I'!G20</f>
        <v>0</v>
      </c>
      <c r="F33" s="607"/>
      <c r="G33" s="358">
        <f>+'Exhibit F'!H29+'Exhibit G'!H21+'Exhibit I'!I20</f>
        <v>22.6</v>
      </c>
      <c r="H33" s="519"/>
      <c r="I33" s="358">
        <f>+'Exhibit F'!J29+'Exhibit G'!J21+'Exhibit I'!K20</f>
        <v>0.10000000000000142</v>
      </c>
      <c r="J33" s="519"/>
      <c r="K33" s="358">
        <f>+'Exhibit F'!L29+'Exhibit G'!L21+'Exhibit I'!M20</f>
        <v>-0.10000000000000142</v>
      </c>
      <c r="L33" s="222"/>
      <c r="M33" s="358">
        <f>+'Exhibit F'!N29+'Exhibit G'!N21+'Exhibit I'!O20</f>
        <v>33.999999999999993</v>
      </c>
      <c r="N33" s="222"/>
      <c r="O33" s="358">
        <f>+'Exhibit F'!P29+'Exhibit G'!P21+'Exhibit I'!Q20</f>
        <v>0</v>
      </c>
      <c r="P33" s="222"/>
      <c r="Q33" s="3265">
        <f>+'Exhibit F'!R29+'Exhibit G'!R21+'Exhibit I'!S20</f>
        <v>1.7763568394002505E-15</v>
      </c>
      <c r="R33" s="222"/>
      <c r="S33" s="358">
        <f>+'Exhibit F'!T29+'Exhibit G'!T21+'Exhibit I'!U20</f>
        <v>28.500000000000004</v>
      </c>
      <c r="T33" s="222"/>
      <c r="U33" s="358">
        <f>+'Exhibit F'!V29+'Exhibit G'!V21+'Exhibit I'!W20</f>
        <v>0</v>
      </c>
      <c r="V33" s="222"/>
      <c r="W33" s="358"/>
      <c r="X33" s="222"/>
      <c r="Y33" s="358"/>
      <c r="Z33" s="222"/>
      <c r="AA33" s="948"/>
      <c r="AB33" s="1615">
        <f>ROUND(SUM(C33:Y33),1)</f>
        <v>87</v>
      </c>
      <c r="AC33" s="3063"/>
      <c r="AD33" s="3264"/>
      <c r="AE33" s="3265">
        <f>+'Exhibit F'!AF29+'Exhibit G'!AG21+'Exhibit I'!AI20</f>
        <v>50.5</v>
      </c>
      <c r="AF33" s="3063"/>
      <c r="AG33" s="3063"/>
      <c r="AH33" s="883">
        <f t="shared" si="3"/>
        <v>36.5</v>
      </c>
      <c r="AI33" s="1012"/>
      <c r="AJ33" s="1704">
        <f t="shared" si="4"/>
        <v>0.72299999999999998</v>
      </c>
    </row>
    <row r="34" spans="1:36" ht="16.5" customHeight="1">
      <c r="A34" s="661" t="s">
        <v>1008</v>
      </c>
      <c r="B34" s="661"/>
      <c r="C34" s="358">
        <f>+'Exhibit F'!D30+'Exhibit G'!D22</f>
        <v>98.300000000000011</v>
      </c>
      <c r="D34" s="607"/>
      <c r="E34" s="358">
        <f>+'Exhibit F'!F30+'Exhibit G'!F22</f>
        <v>76.599999999999994</v>
      </c>
      <c r="F34" s="607"/>
      <c r="G34" s="358">
        <f>+'Exhibit F'!H30+'Exhibit G'!H22</f>
        <v>90.6</v>
      </c>
      <c r="H34" s="519"/>
      <c r="I34" s="358">
        <f>+'Exhibit F'!J30+'Exhibit G'!J22</f>
        <v>85.4</v>
      </c>
      <c r="J34" s="519"/>
      <c r="K34" s="358">
        <f>+'Exhibit F'!L30+'Exhibit G'!L22</f>
        <v>88.3</v>
      </c>
      <c r="L34" s="222"/>
      <c r="M34" s="358">
        <f>+'Exhibit F'!N30+'Exhibit G'!N22</f>
        <v>82.80000000000004</v>
      </c>
      <c r="N34" s="222"/>
      <c r="O34" s="358">
        <f>+'Exhibit F'!P30+'Exhibit G'!P22</f>
        <v>88.300000000000011</v>
      </c>
      <c r="P34" s="222"/>
      <c r="Q34" s="358">
        <f>+'Exhibit F'!R30+'Exhibit G'!R22</f>
        <v>78.899999999999963</v>
      </c>
      <c r="R34" s="222"/>
      <c r="S34" s="358">
        <f>+'Exhibit F'!T30+'Exhibit G'!T22</f>
        <v>82.200000000000045</v>
      </c>
      <c r="T34" s="222"/>
      <c r="U34" s="358">
        <f>+'Exhibit F'!V30+'Exhibit G'!V22</f>
        <v>68.499999999999844</v>
      </c>
      <c r="V34" s="222"/>
      <c r="W34" s="358"/>
      <c r="X34" s="222"/>
      <c r="Y34" s="358"/>
      <c r="Z34" s="222"/>
      <c r="AA34" s="948"/>
      <c r="AB34" s="1615">
        <f t="shared" si="2"/>
        <v>839.9</v>
      </c>
      <c r="AC34" s="3063"/>
      <c r="AD34" s="3264"/>
      <c r="AE34" s="3265">
        <f>+'Exhibit F'!AF30+'Exhibit G'!AG22</f>
        <v>890.7</v>
      </c>
      <c r="AF34" s="3063"/>
      <c r="AG34" s="3063"/>
      <c r="AH34" s="883">
        <f t="shared" si="3"/>
        <v>-50.8</v>
      </c>
      <c r="AI34" s="1012"/>
      <c r="AJ34" s="1704">
        <f t="shared" si="4"/>
        <v>-5.7000000000000002E-2</v>
      </c>
    </row>
    <row r="35" spans="1:36" ht="16.5" customHeight="1">
      <c r="A35" s="661" t="s">
        <v>1531</v>
      </c>
      <c r="B35" s="661"/>
      <c r="C35" s="358">
        <f>+'Exhibit G'!D23</f>
        <v>1.5</v>
      </c>
      <c r="D35" s="607"/>
      <c r="E35" s="358">
        <f>+'Exhibit G'!F23</f>
        <v>1.1000000000000001</v>
      </c>
      <c r="F35" s="607"/>
      <c r="G35" s="358">
        <f>+'Exhibit G'!H23</f>
        <v>1.1000000000000001</v>
      </c>
      <c r="H35" s="519"/>
      <c r="I35" s="358">
        <f>+'Exhibit G'!J23</f>
        <v>0.90000000000000036</v>
      </c>
      <c r="J35" s="519"/>
      <c r="K35" s="358">
        <f>+'Exhibit G'!L23</f>
        <v>1.0999999999999996</v>
      </c>
      <c r="L35" s="1513"/>
      <c r="M35" s="358">
        <f>+'Exhibit G'!N23</f>
        <v>0.99999999999999956</v>
      </c>
      <c r="N35" s="1513"/>
      <c r="O35" s="358">
        <f>+'Exhibit G'!P23</f>
        <v>1.1000000000000001</v>
      </c>
      <c r="P35" s="1513"/>
      <c r="Q35" s="358">
        <f>+'Exhibit G'!R23</f>
        <v>1.0000000000000018</v>
      </c>
      <c r="R35" s="1513"/>
      <c r="S35" s="358">
        <f>+'Exhibit G'!T23</f>
        <v>1.1999999999999993</v>
      </c>
      <c r="T35" s="1513"/>
      <c r="U35" s="358">
        <f>+'Exhibit G'!V23</f>
        <v>1.0999999999999992</v>
      </c>
      <c r="V35" s="1513"/>
      <c r="W35" s="358"/>
      <c r="X35" s="1513"/>
      <c r="Y35" s="358"/>
      <c r="Z35" s="1513"/>
      <c r="AA35" s="948"/>
      <c r="AB35" s="1615">
        <f>ROUND(SUM(C35:Y35),1)</f>
        <v>11.1</v>
      </c>
      <c r="AC35" s="3063"/>
      <c r="AD35" s="3264"/>
      <c r="AE35" s="3265">
        <f>'Exhibit G'!AG23</f>
        <v>7.2</v>
      </c>
      <c r="AF35" s="3063"/>
      <c r="AG35" s="3063"/>
      <c r="AH35" s="883">
        <f>ROUND(SUM(+AB35-AE35),1)</f>
        <v>3.9</v>
      </c>
      <c r="AI35" s="1012"/>
      <c r="AJ35" s="1704">
        <f>ROUND(IF(AE35=0,0,AH35/ABS(AE35)),3)</f>
        <v>0.54200000000000004</v>
      </c>
    </row>
    <row r="36" spans="1:36" ht="16.5" customHeight="1">
      <c r="A36" s="661" t="s">
        <v>1009</v>
      </c>
      <c r="B36" s="661"/>
      <c r="C36" s="358">
        <f>+'Exhibit F'!D31+'Exhibit G'!D24+'Exhibit I'!E21</f>
        <v>34.1</v>
      </c>
      <c r="D36" s="607"/>
      <c r="E36" s="358">
        <f>+'Exhibit F'!F31+'Exhibit G'!F24+'Exhibit I'!G21</f>
        <v>40.300000000000004</v>
      </c>
      <c r="F36" s="607"/>
      <c r="G36" s="358">
        <f>+'Exhibit F'!H31+'Exhibit G'!H24+'Exhibit I'!I21</f>
        <v>46.6</v>
      </c>
      <c r="H36" s="519"/>
      <c r="I36" s="358">
        <f>+'Exhibit F'!J31+'Exhibit G'!J24+'Exhibit I'!K21</f>
        <v>44.5</v>
      </c>
      <c r="J36" s="519"/>
      <c r="K36" s="358">
        <f>+'Exhibit F'!L31+'Exhibit G'!L24+'Exhibit I'!M21</f>
        <v>46.099999999999966</v>
      </c>
      <c r="L36" s="222"/>
      <c r="M36" s="358">
        <f>+'Exhibit F'!N31+'Exhibit G'!N24+'Exhibit I'!O21</f>
        <v>47.800000000000011</v>
      </c>
      <c r="N36" s="222"/>
      <c r="O36" s="358">
        <f>+'Exhibit F'!P31+'Exhibit G'!P24+'Exhibit I'!Q21</f>
        <v>44.199999999999996</v>
      </c>
      <c r="P36" s="222"/>
      <c r="Q36" s="358">
        <f>+'Exhibit F'!R31+'Exhibit G'!R24+'Exhibit I'!S21</f>
        <v>29.899999999999981</v>
      </c>
      <c r="R36" s="222"/>
      <c r="S36" s="358">
        <f>+'Exhibit F'!T31+'Exhibit G'!T24+'Exhibit I'!U21</f>
        <v>47.600000000000065</v>
      </c>
      <c r="T36" s="222"/>
      <c r="U36" s="358">
        <f>+'Exhibit F'!V31+'Exhibit G'!V24+'Exhibit I'!W21</f>
        <v>30.400000000000034</v>
      </c>
      <c r="V36" s="222"/>
      <c r="W36" s="358"/>
      <c r="X36" s="222"/>
      <c r="Y36" s="358"/>
      <c r="Z36" s="222"/>
      <c r="AA36" s="948"/>
      <c r="AB36" s="1615">
        <f t="shared" si="2"/>
        <v>411.5</v>
      </c>
      <c r="AC36" s="3063"/>
      <c r="AD36" s="3264"/>
      <c r="AE36" s="3265">
        <f>+'Exhibit F'!AF31+'Exhibit G'!AG24+'Exhibit I'!AI21</f>
        <v>358.70000000000005</v>
      </c>
      <c r="AF36" s="3063"/>
      <c r="AG36" s="3063"/>
      <c r="AH36" s="883">
        <f t="shared" si="3"/>
        <v>52.8</v>
      </c>
      <c r="AI36" s="1012"/>
      <c r="AJ36" s="1704">
        <f t="shared" si="4"/>
        <v>0.14699999999999999</v>
      </c>
    </row>
    <row r="37" spans="1:36" ht="16.5" customHeight="1">
      <c r="A37" s="661" t="s">
        <v>1010</v>
      </c>
      <c r="B37" s="661"/>
      <c r="C37" s="358">
        <f>+'Exhibit F'!D32+'Exhibit G'!D25</f>
        <v>23</v>
      </c>
      <c r="D37" s="607"/>
      <c r="E37" s="358">
        <f>+'Exhibit F'!F32+'Exhibit G'!F25</f>
        <v>21.799999999999997</v>
      </c>
      <c r="F37" s="607"/>
      <c r="G37" s="358">
        <f>+'Exhibit F'!H32+'Exhibit G'!H25</f>
        <v>21.700000000000003</v>
      </c>
      <c r="H37" s="519"/>
      <c r="I37" s="358">
        <f>+'Exhibit F'!J32+'Exhibit G'!J25</f>
        <v>29.700000000000003</v>
      </c>
      <c r="J37" s="519"/>
      <c r="K37" s="358">
        <f>+'Exhibit F'!L32+'Exhibit G'!L25</f>
        <v>22.700000000000003</v>
      </c>
      <c r="L37" s="222"/>
      <c r="M37" s="358">
        <f>+'Exhibit F'!N32+'Exhibit G'!N25</f>
        <v>25.299999999999983</v>
      </c>
      <c r="N37" s="222"/>
      <c r="O37" s="358">
        <f>+'Exhibit F'!P32+'Exhibit G'!P25</f>
        <v>23.100000000000023</v>
      </c>
      <c r="P37" s="222"/>
      <c r="Q37" s="358">
        <f>+'Exhibit F'!R32+'Exhibit G'!R25</f>
        <v>23.299999999999997</v>
      </c>
      <c r="R37" s="222"/>
      <c r="S37" s="358">
        <f>+'Exhibit F'!T32+'Exhibit G'!T25</f>
        <v>24.200000000000003</v>
      </c>
      <c r="T37" s="222"/>
      <c r="U37" s="358">
        <f>+'Exhibit F'!V32+'Exhibit G'!V25</f>
        <v>30.5</v>
      </c>
      <c r="V37" s="222"/>
      <c r="W37" s="358"/>
      <c r="X37" s="222"/>
      <c r="Y37" s="358"/>
      <c r="Z37" s="222"/>
      <c r="AA37" s="948"/>
      <c r="AB37" s="1615">
        <f t="shared" si="2"/>
        <v>245.3</v>
      </c>
      <c r="AC37" s="3063"/>
      <c r="AD37" s="3264"/>
      <c r="AE37" s="3265">
        <f>+'Exhibit F'!AF32+'Exhibit G'!AG25</f>
        <v>238.4</v>
      </c>
      <c r="AF37" s="3063"/>
      <c r="AG37" s="3063"/>
      <c r="AH37" s="883">
        <f t="shared" si="3"/>
        <v>6.9</v>
      </c>
      <c r="AI37" s="1012"/>
      <c r="AJ37" s="1704">
        <f t="shared" si="4"/>
        <v>2.9000000000000001E-2</v>
      </c>
    </row>
    <row r="38" spans="1:36" ht="16.5" customHeight="1">
      <c r="A38" s="661" t="s">
        <v>1011</v>
      </c>
      <c r="B38" s="661"/>
      <c r="C38" s="358">
        <f>+'Exhibit F'!D33+'Exhibit G'!D26+'Exhibit I'!E22</f>
        <v>14.6</v>
      </c>
      <c r="D38" s="607"/>
      <c r="E38" s="358">
        <f>+'Exhibit F'!F33+'Exhibit G'!F26+'Exhibit I'!G22</f>
        <v>10.5</v>
      </c>
      <c r="F38" s="607"/>
      <c r="G38" s="358">
        <f>+'Exhibit F'!H33+'Exhibit G'!H26+'Exhibit I'!I22</f>
        <v>11.600000000000001</v>
      </c>
      <c r="H38" s="519"/>
      <c r="I38" s="358">
        <f>+'Exhibit F'!J33+'Exhibit G'!J26+'Exhibit I'!K22</f>
        <v>12.200000000000001</v>
      </c>
      <c r="J38" s="519"/>
      <c r="K38" s="358">
        <f>+'Exhibit F'!L33+'Exhibit G'!L26+'Exhibit I'!M22</f>
        <v>13.299999999999997</v>
      </c>
      <c r="L38" s="222"/>
      <c r="M38" s="358">
        <f>+'Exhibit F'!N33+'Exhibit G'!N26+'Exhibit I'!O22</f>
        <v>10.699999999999994</v>
      </c>
      <c r="N38" s="222"/>
      <c r="O38" s="358">
        <f>+'Exhibit F'!P33+'Exhibit G'!P26+'Exhibit I'!Q22</f>
        <v>12.600000000000005</v>
      </c>
      <c r="P38" s="222"/>
      <c r="Q38" s="358">
        <f>+'Exhibit F'!R33+'Exhibit G'!R26+'Exhibit I'!S22</f>
        <v>13.600000000000005</v>
      </c>
      <c r="R38" s="222"/>
      <c r="S38" s="358">
        <f>+'Exhibit F'!T33+'Exhibit G'!T26+'Exhibit I'!U22</f>
        <v>12.900000000000002</v>
      </c>
      <c r="T38" s="222"/>
      <c r="U38" s="358">
        <f>+'Exhibit F'!V33+'Exhibit G'!V26+'Exhibit I'!W22</f>
        <v>11.3</v>
      </c>
      <c r="V38" s="222"/>
      <c r="W38" s="358"/>
      <c r="X38" s="222"/>
      <c r="Y38" s="358"/>
      <c r="Z38" s="222"/>
      <c r="AA38" s="948"/>
      <c r="AB38" s="1615">
        <f t="shared" si="2"/>
        <v>123.3</v>
      </c>
      <c r="AC38" s="3063"/>
      <c r="AD38" s="3264"/>
      <c r="AE38" s="3265">
        <f>+'Exhibit F'!AF33+'Exhibit G'!AG26+'Exhibit I'!AI22</f>
        <v>114.7</v>
      </c>
      <c r="AF38" s="3063"/>
      <c r="AG38" s="3063"/>
      <c r="AH38" s="883">
        <f t="shared" si="3"/>
        <v>8.6</v>
      </c>
      <c r="AI38" s="1012"/>
      <c r="AJ38" s="3269">
        <f t="shared" si="4"/>
        <v>7.4999999999999997E-2</v>
      </c>
    </row>
    <row r="39" spans="1:36" ht="16.5" customHeight="1">
      <c r="A39" s="661" t="s">
        <v>1324</v>
      </c>
      <c r="B39" s="661"/>
      <c r="C39" s="358">
        <f>'Exhibit F'!D34+'Exhibit G'!D27</f>
        <v>0.2</v>
      </c>
      <c r="D39" s="607"/>
      <c r="E39" s="358">
        <f>'Exhibit F'!F34+'Exhibit G'!F27</f>
        <v>0</v>
      </c>
      <c r="F39" s="607"/>
      <c r="G39" s="358">
        <f>'Exhibit F'!H34+'Exhibit G'!H27</f>
        <v>6.6</v>
      </c>
      <c r="H39" s="519"/>
      <c r="I39" s="358">
        <f>'Exhibit F'!J34+'Exhibit G'!J27</f>
        <v>0.20000000000000018</v>
      </c>
      <c r="J39" s="519"/>
      <c r="K39" s="358">
        <f>'Exhibit F'!L34+'Exhibit G'!L27</f>
        <v>0</v>
      </c>
      <c r="L39" s="1513"/>
      <c r="M39" s="358">
        <f>'Exhibit F'!N34+'Exhibit G'!N27</f>
        <v>7.8000000000000016</v>
      </c>
      <c r="N39" s="1513"/>
      <c r="O39" s="358">
        <f>'Exhibit F'!P34+'Exhibit G'!P27</f>
        <v>0</v>
      </c>
      <c r="P39" s="1513"/>
      <c r="Q39" s="358">
        <f>'Exhibit F'!R34+'Exhibit G'!R27</f>
        <v>9.9999999999999645E-2</v>
      </c>
      <c r="R39" s="1513"/>
      <c r="S39" s="358">
        <f>'Exhibit F'!T34+'Exhibit G'!T27</f>
        <v>7.7</v>
      </c>
      <c r="T39" s="1513"/>
      <c r="U39" s="358">
        <f>'Exhibit F'!V34+'Exhibit G'!V27</f>
        <v>9.9999999999997868E-2</v>
      </c>
      <c r="V39" s="1513"/>
      <c r="W39" s="358"/>
      <c r="X39" s="1513"/>
      <c r="Y39" s="358"/>
      <c r="Z39" s="1513"/>
      <c r="AA39" s="948"/>
      <c r="AB39" s="1615">
        <f>ROUND(SUM(C39:Y39),1)</f>
        <v>22.7</v>
      </c>
      <c r="AC39" s="3063"/>
      <c r="AD39" s="3264"/>
      <c r="AE39" s="3265">
        <f>+'Exhibit F'!AF34+'Exhibit G'!AG27</f>
        <v>25.5</v>
      </c>
      <c r="AF39" s="3063"/>
      <c r="AG39" s="3063"/>
      <c r="AH39" s="883">
        <f>ROUND(SUM(+AB39-AE39),1)</f>
        <v>-2.8</v>
      </c>
      <c r="AI39" s="1012"/>
      <c r="AJ39" s="3269">
        <f>ROUND(IF(AE39=0,1,AH39/ABS(AE39)),3)</f>
        <v>-0.11</v>
      </c>
    </row>
    <row r="40" spans="1:36" ht="16.5" customHeight="1">
      <c r="A40" s="661" t="s">
        <v>1326</v>
      </c>
      <c r="B40" s="661"/>
      <c r="C40" s="358">
        <f>'Exhibit F'!D35</f>
        <v>6.7</v>
      </c>
      <c r="D40" s="607"/>
      <c r="E40" s="358">
        <f>'Exhibit F'!F35</f>
        <v>9.9999999999999645E-2</v>
      </c>
      <c r="F40" s="607"/>
      <c r="G40" s="358">
        <f>'Exhibit F'!H35</f>
        <v>0</v>
      </c>
      <c r="H40" s="519"/>
      <c r="I40" s="358">
        <f>'Exhibit F'!J35</f>
        <v>7.5000000000000009</v>
      </c>
      <c r="J40" s="519"/>
      <c r="K40" s="358">
        <f>'Exhibit F'!L35</f>
        <v>0</v>
      </c>
      <c r="L40" s="1513"/>
      <c r="M40" s="358">
        <f>'Exhibit F'!N35</f>
        <v>0</v>
      </c>
      <c r="N40" s="1513"/>
      <c r="O40" s="358">
        <f>'Exhibit F'!P35</f>
        <v>5.2</v>
      </c>
      <c r="P40" s="1513"/>
      <c r="Q40" s="358">
        <f>'Exhibit F'!R35</f>
        <v>0</v>
      </c>
      <c r="R40" s="1513"/>
      <c r="S40" s="358">
        <f>'Exhibit F'!T35</f>
        <v>0</v>
      </c>
      <c r="T40" s="1513"/>
      <c r="U40" s="358">
        <f>'Exhibit F'!V35</f>
        <v>9.0000000000000036</v>
      </c>
      <c r="V40" s="1513"/>
      <c r="W40" s="358"/>
      <c r="X40" s="1513"/>
      <c r="Y40" s="358"/>
      <c r="Z40" s="1513"/>
      <c r="AA40" s="518"/>
      <c r="AB40" s="1615">
        <f t="shared" si="2"/>
        <v>28.5</v>
      </c>
      <c r="AC40" s="3063"/>
      <c r="AD40" s="3264"/>
      <c r="AE40" s="3265">
        <f>+'Exhibit F'!AF35</f>
        <v>29.9</v>
      </c>
      <c r="AF40" s="3063"/>
      <c r="AG40" s="3063"/>
      <c r="AH40" s="883">
        <f t="shared" ref="AH40" si="5">ROUND(SUM(+AB40-AE40),1)</f>
        <v>-1.4</v>
      </c>
      <c r="AI40" s="1012"/>
      <c r="AJ40" s="3269">
        <f>ROUND(IF(AE40=0,1,AH40/ABS(AE40)),3)</f>
        <v>-4.7E-2</v>
      </c>
    </row>
    <row r="41" spans="1:36" ht="16.5" customHeight="1">
      <c r="A41" s="307" t="s">
        <v>1005</v>
      </c>
      <c r="B41" s="661"/>
      <c r="C41" s="874">
        <f>ROUND(SUM(C32:C40),1)</f>
        <v>1477.7</v>
      </c>
      <c r="D41" s="23"/>
      <c r="E41" s="874">
        <f>ROUND(SUM(E32:E40),1)</f>
        <v>1411.8</v>
      </c>
      <c r="F41" s="23"/>
      <c r="G41" s="874">
        <f>ROUND(SUM(G32:G40),1)</f>
        <v>1912.5</v>
      </c>
      <c r="H41" s="222"/>
      <c r="I41" s="874">
        <f>ROUND(SUM(I32:I40),1)</f>
        <v>1563.4</v>
      </c>
      <c r="J41" s="222"/>
      <c r="K41" s="874">
        <f>ROUND(SUM(K32:K40),1)</f>
        <v>1506.2</v>
      </c>
      <c r="L41" s="222"/>
      <c r="M41" s="874">
        <f>ROUND(SUM(M32:M40),1)</f>
        <v>1949.1</v>
      </c>
      <c r="N41" s="222"/>
      <c r="O41" s="3069">
        <f>ROUND(SUM(O32:O40),1)</f>
        <v>1518.2</v>
      </c>
      <c r="P41" s="222"/>
      <c r="Q41" s="3069">
        <f>ROUND(SUM(Q32:Q40),1)</f>
        <v>1528.7</v>
      </c>
      <c r="R41" s="222"/>
      <c r="S41" s="874">
        <f>ROUND(SUM(S32:S40),1)</f>
        <v>1959.6</v>
      </c>
      <c r="T41" s="222"/>
      <c r="U41" s="874">
        <f>ROUND(SUM(U32:U40),1)</f>
        <v>1634.8</v>
      </c>
      <c r="V41" s="222"/>
      <c r="W41" s="874">
        <f>ROUND(SUM(W32:W40),1)</f>
        <v>0</v>
      </c>
      <c r="X41" s="222"/>
      <c r="Y41" s="874">
        <f>ROUND(SUM(Y32:Y40),1)</f>
        <v>0</v>
      </c>
      <c r="Z41" s="222"/>
      <c r="AA41" s="948"/>
      <c r="AB41" s="3069">
        <f>ROUND(SUM(AB32:AB40),1)</f>
        <v>16462</v>
      </c>
      <c r="AC41" s="3063"/>
      <c r="AD41" s="3264"/>
      <c r="AE41" s="3069">
        <f>ROUND(SUM(AE32:AE40),1)</f>
        <v>13493.1</v>
      </c>
      <c r="AF41" s="3063"/>
      <c r="AG41" s="3063"/>
      <c r="AH41" s="1519">
        <f>ROUND(SUM(AH32:AH40),1)</f>
        <v>2968.9</v>
      </c>
      <c r="AI41" s="112"/>
      <c r="AJ41" s="3270">
        <f t="shared" si="4"/>
        <v>0.22</v>
      </c>
    </row>
    <row r="42" spans="1:36" ht="16.5" customHeight="1">
      <c r="A42" s="1039" t="s">
        <v>1051</v>
      </c>
      <c r="B42" s="661"/>
      <c r="C42" s="604"/>
      <c r="D42" s="604"/>
      <c r="E42" s="604"/>
      <c r="F42" s="604"/>
      <c r="G42" s="604"/>
      <c r="H42" s="222"/>
      <c r="I42" s="604"/>
      <c r="J42" s="222"/>
      <c r="K42" s="604"/>
      <c r="L42" s="222"/>
      <c r="M42" s="604"/>
      <c r="N42" s="222"/>
      <c r="O42" s="3349"/>
      <c r="P42" s="222"/>
      <c r="Q42" s="3349"/>
      <c r="R42" s="222"/>
      <c r="S42" s="604"/>
      <c r="T42" s="222"/>
      <c r="U42" s="604"/>
      <c r="V42" s="222"/>
      <c r="W42" s="604"/>
      <c r="X42" s="222"/>
      <c r="Y42" s="604"/>
      <c r="Z42" s="222"/>
      <c r="AA42" s="948"/>
      <c r="AB42" s="3063"/>
      <c r="AC42" s="3063"/>
      <c r="AD42" s="3264"/>
      <c r="AE42" s="3267"/>
      <c r="AF42" s="3063"/>
      <c r="AG42" s="3063"/>
      <c r="AH42" s="112"/>
      <c r="AI42" s="112"/>
      <c r="AJ42" s="3268"/>
    </row>
    <row r="43" spans="1:36" ht="16.5" customHeight="1">
      <c r="A43" s="661" t="s">
        <v>1013</v>
      </c>
      <c r="B43" s="661"/>
      <c r="C43" s="358">
        <f>+'Exhibit F'!D38+'Exhibit G'!D30+'Exhibit I'!E25</f>
        <v>768.4</v>
      </c>
      <c r="D43" s="607"/>
      <c r="E43" s="358">
        <f>+'Exhibit F'!F38+'Exhibit G'!F30+'Exhibit I'!G25</f>
        <v>106.00000000000006</v>
      </c>
      <c r="F43" s="607"/>
      <c r="G43" s="358">
        <f>+'Exhibit F'!H38+'Exhibit G'!H30+'Exhibit I'!I25</f>
        <v>1452.1</v>
      </c>
      <c r="H43" s="519"/>
      <c r="I43" s="358">
        <f>+'Exhibit F'!J38+'Exhibit G'!J30+'Exhibit I'!K25</f>
        <v>274.00000000000011</v>
      </c>
      <c r="J43" s="519"/>
      <c r="K43" s="358">
        <f>+'Exhibit F'!L38+'Exhibit G'!L30+'Exhibit I'!M25</f>
        <v>28.500000000000114</v>
      </c>
      <c r="L43" s="222"/>
      <c r="M43" s="358">
        <f>+'Exhibit F'!N38+'Exhibit G'!N30+'Exhibit I'!O25</f>
        <v>1477.1</v>
      </c>
      <c r="N43" s="222"/>
      <c r="O43" s="358">
        <f>+'Exhibit F'!P38+'Exhibit G'!P30+'Exhibit I'!Q25</f>
        <v>91.999999999999773</v>
      </c>
      <c r="P43" s="222"/>
      <c r="Q43" s="358">
        <f>+'Exhibit F'!R38+'Exhibit G'!R30+'Exhibit I'!S25</f>
        <v>-50.299999999999955</v>
      </c>
      <c r="R43" s="222"/>
      <c r="S43" s="358">
        <f>+'Exhibit F'!T38+'Exhibit G'!T30+'Exhibit I'!U25</f>
        <v>1316.5999999999997</v>
      </c>
      <c r="T43" s="222"/>
      <c r="U43" s="358">
        <f>+'Exhibit F'!V38+'Exhibit G'!V30+'Exhibit I'!W25</f>
        <v>226.20000000000027</v>
      </c>
      <c r="V43" s="222"/>
      <c r="W43" s="358"/>
      <c r="X43" s="222"/>
      <c r="Y43" s="358"/>
      <c r="Z43" s="222"/>
      <c r="AA43" s="948"/>
      <c r="AB43" s="1615">
        <f t="shared" ref="AB43:AB48" si="6">ROUND(SUM(C43:Y43),1)</f>
        <v>5690.6</v>
      </c>
      <c r="AC43" s="3063"/>
      <c r="AD43" s="3264"/>
      <c r="AE43" s="3265">
        <f>+'Exhibit F'!AF38+'Exhibit G'!AG30+'Exhibit I'!AI25</f>
        <v>3601</v>
      </c>
      <c r="AF43" s="3063"/>
      <c r="AG43" s="3063"/>
      <c r="AH43" s="883">
        <f t="shared" ref="AH43:AH48" si="7">ROUND(SUM(+AB43-AE43),1)</f>
        <v>2089.6</v>
      </c>
      <c r="AI43" s="112"/>
      <c r="AJ43" s="1704">
        <f t="shared" ref="AJ43:AJ49" si="8">ROUND(IF(AE43=0,0,AH43/ABS(AE43)),3)</f>
        <v>0.57999999999999996</v>
      </c>
    </row>
    <row r="44" spans="1:36" ht="16.5" customHeight="1">
      <c r="A44" s="661" t="s">
        <v>1014</v>
      </c>
      <c r="B44" s="661"/>
      <c r="C44" s="358">
        <f>+'Exhibit F'!D39+'Exhibit G'!D31+'Exhibit I'!E26</f>
        <v>51.000000000000007</v>
      </c>
      <c r="D44" s="607"/>
      <c r="E44" s="358">
        <f>+'Exhibit F'!F39+'Exhibit G'!F31+'Exhibit I'!G26</f>
        <v>1.0999999999999979</v>
      </c>
      <c r="F44" s="607"/>
      <c r="G44" s="358">
        <f>+'Exhibit F'!H39+'Exhibit G'!H31+'Exhibit I'!I26</f>
        <v>83.200000000000017</v>
      </c>
      <c r="H44" s="519"/>
      <c r="I44" s="358">
        <f>+'Exhibit F'!J39+'Exhibit G'!J31+'Exhibit I'!K26</f>
        <v>-7.6999999999999993</v>
      </c>
      <c r="J44" s="519"/>
      <c r="K44" s="358">
        <f>+'Exhibit F'!L39+'Exhibit G'!L31+'Exhibit I'!M26</f>
        <v>-1.0000000000000093</v>
      </c>
      <c r="L44" s="222"/>
      <c r="M44" s="358">
        <f>+'Exhibit F'!N39+'Exhibit G'!N31+'Exhibit I'!O26</f>
        <v>104.2</v>
      </c>
      <c r="N44" s="222"/>
      <c r="O44" s="358">
        <f>+'Exhibit F'!P39+'Exhibit G'!P31+'Exhibit I'!Q26</f>
        <v>1.400000000000003</v>
      </c>
      <c r="P44" s="222"/>
      <c r="Q44" s="358">
        <f>+'Exhibit F'!R39+'Exhibit G'!R31+'Exhibit I'!S26</f>
        <v>0.90000000000001279</v>
      </c>
      <c r="R44" s="222"/>
      <c r="S44" s="358">
        <f>+'Exhibit F'!T39+'Exhibit G'!T31+'Exhibit I'!U26</f>
        <v>100.7</v>
      </c>
      <c r="T44" s="222"/>
      <c r="U44" s="358">
        <f>+'Exhibit F'!V39+'Exhibit G'!V31+'Exhibit I'!W26</f>
        <v>-1.0000000000000346</v>
      </c>
      <c r="V44" s="222"/>
      <c r="W44" s="358"/>
      <c r="X44" s="222"/>
      <c r="Y44" s="358"/>
      <c r="Z44" s="222"/>
      <c r="AA44" s="948"/>
      <c r="AB44" s="1615">
        <f t="shared" si="6"/>
        <v>332.8</v>
      </c>
      <c r="AC44" s="3063"/>
      <c r="AD44" s="3264"/>
      <c r="AE44" s="3265">
        <f>+'Exhibit F'!AF39+'Exhibit G'!AG31+'Exhibit I'!AI26</f>
        <v>364.1</v>
      </c>
      <c r="AF44" s="3063"/>
      <c r="AG44" s="3063"/>
      <c r="AH44" s="883">
        <f t="shared" si="7"/>
        <v>-31.3</v>
      </c>
      <c r="AI44" s="112"/>
      <c r="AJ44" s="3269">
        <f t="shared" si="8"/>
        <v>-8.5999999999999993E-2</v>
      </c>
    </row>
    <row r="45" spans="1:36" ht="16.5" customHeight="1">
      <c r="A45" s="661" t="s">
        <v>1015</v>
      </c>
      <c r="B45" s="661"/>
      <c r="C45" s="358">
        <f>+'Exhibit F'!D40+'Exhibit G'!D32</f>
        <v>64.2</v>
      </c>
      <c r="D45" s="607"/>
      <c r="E45" s="358">
        <f>+'Exhibit F'!F40+'Exhibit G'!F32</f>
        <v>57.3</v>
      </c>
      <c r="F45" s="607"/>
      <c r="G45" s="358">
        <f>+'Exhibit F'!H40+'Exhibit G'!H32</f>
        <v>373.2</v>
      </c>
      <c r="H45" s="519"/>
      <c r="I45" s="358">
        <f>+'Exhibit F'!J40+'Exhibit G'!J32</f>
        <v>15.900000000000034</v>
      </c>
      <c r="J45" s="519"/>
      <c r="K45" s="358">
        <f>+'Exhibit F'!L40+'Exhibit G'!L32</f>
        <v>52.800000000000011</v>
      </c>
      <c r="L45" s="222"/>
      <c r="M45" s="358">
        <f>+'Exhibit F'!N40+'Exhibit G'!N32</f>
        <v>453.60000000000014</v>
      </c>
      <c r="N45" s="222"/>
      <c r="O45" s="358">
        <f>+'Exhibit F'!P40+'Exhibit G'!P32</f>
        <v>19.699999999999946</v>
      </c>
      <c r="P45" s="222"/>
      <c r="Q45" s="358">
        <f>+'Exhibit F'!R40+'Exhibit G'!R32</f>
        <v>38.200000000000003</v>
      </c>
      <c r="R45" s="222"/>
      <c r="S45" s="358">
        <f>+'Exhibit F'!T40+'Exhibit G'!T32</f>
        <v>436</v>
      </c>
      <c r="T45" s="222"/>
      <c r="U45" s="358">
        <f>+'Exhibit F'!V40+'Exhibit G'!V32</f>
        <v>17.30000000000004</v>
      </c>
      <c r="V45" s="222"/>
      <c r="W45" s="358"/>
      <c r="X45" s="222"/>
      <c r="Y45" s="358"/>
      <c r="Z45" s="222"/>
      <c r="AA45" s="948"/>
      <c r="AB45" s="1615">
        <f t="shared" si="6"/>
        <v>1528.2</v>
      </c>
      <c r="AC45" s="3063"/>
      <c r="AD45" s="3264"/>
      <c r="AE45" s="3265">
        <f>+'Exhibit F'!AF40+'Exhibit G'!AG32</f>
        <v>1330.6999999999998</v>
      </c>
      <c r="AF45" s="3063"/>
      <c r="AG45" s="3063"/>
      <c r="AH45" s="883">
        <f t="shared" si="7"/>
        <v>197.5</v>
      </c>
      <c r="AI45" s="112"/>
      <c r="AJ45" s="1704">
        <f t="shared" si="8"/>
        <v>0.14799999999999999</v>
      </c>
    </row>
    <row r="46" spans="1:36" ht="16.5" customHeight="1">
      <c r="A46" s="661" t="s">
        <v>1016</v>
      </c>
      <c r="B46" s="661"/>
      <c r="C46" s="358">
        <f>+'Exhibit F'!D41+'Exhibit G'!D33</f>
        <v>17.3</v>
      </c>
      <c r="D46" s="607"/>
      <c r="E46" s="358">
        <f>+'Exhibit F'!F41+'Exhibit G'!F33</f>
        <v>-20.099999999999998</v>
      </c>
      <c r="F46" s="607"/>
      <c r="G46" s="358">
        <f>+'Exhibit F'!H41+'Exhibit G'!H33</f>
        <v>10.199999999999998</v>
      </c>
      <c r="H46" s="519"/>
      <c r="I46" s="358">
        <f>+'Exhibit F'!J41+'Exhibit G'!J33</f>
        <v>0.20000000000000107</v>
      </c>
      <c r="J46" s="519"/>
      <c r="K46" s="358">
        <f>+'Exhibit F'!L41+'Exhibit G'!L33</f>
        <v>0</v>
      </c>
      <c r="L46" s="222"/>
      <c r="M46" s="358">
        <f>+'Exhibit F'!N41+'Exhibit G'!N33</f>
        <v>-0.70000000000000107</v>
      </c>
      <c r="N46" s="222"/>
      <c r="O46" s="358">
        <f>+'Exhibit F'!P41+'Exhibit G'!P33</f>
        <v>9.5</v>
      </c>
      <c r="P46" s="222"/>
      <c r="Q46" s="358">
        <f>+'Exhibit F'!R41+'Exhibit G'!R33</f>
        <v>-0.49999999999999822</v>
      </c>
      <c r="R46" s="222"/>
      <c r="S46" s="358">
        <f>+'Exhibit F'!T41+'Exhibit G'!T33</f>
        <v>0.29999999999999716</v>
      </c>
      <c r="T46" s="222"/>
      <c r="U46" s="358">
        <f>+'Exhibit F'!V41+'Exhibit G'!V33</f>
        <v>0</v>
      </c>
      <c r="V46" s="222"/>
      <c r="W46" s="358"/>
      <c r="X46" s="222"/>
      <c r="Y46" s="358"/>
      <c r="Z46" s="222"/>
      <c r="AA46" s="948"/>
      <c r="AB46" s="1615">
        <f t="shared" si="6"/>
        <v>16.2</v>
      </c>
      <c r="AC46" s="3063"/>
      <c r="AD46" s="3264"/>
      <c r="AE46" s="3265">
        <f>+'Exhibit F'!AF41+'Exhibit G'!AG33</f>
        <v>155.5</v>
      </c>
      <c r="AF46" s="3063"/>
      <c r="AG46" s="3063"/>
      <c r="AH46" s="883">
        <f t="shared" si="7"/>
        <v>-139.30000000000001</v>
      </c>
      <c r="AI46" s="112"/>
      <c r="AJ46" s="1708">
        <f>ROUND(IF(AE46=0,0,AH46/ABS(AE46)),3)</f>
        <v>-0.89600000000000002</v>
      </c>
    </row>
    <row r="47" spans="1:36" ht="16.5" customHeight="1">
      <c r="A47" s="661" t="s">
        <v>1538</v>
      </c>
      <c r="B47" s="661"/>
      <c r="C47" s="358">
        <f>+'Exhibit F'!D42+'Exhibit H'!B22</f>
        <v>0</v>
      </c>
      <c r="D47" s="607"/>
      <c r="E47" s="358">
        <f>+'Exhibit F'!F42</f>
        <v>0</v>
      </c>
      <c r="F47" s="607"/>
      <c r="G47" s="358">
        <f>+'Exhibit F'!H42</f>
        <v>0</v>
      </c>
      <c r="H47" s="519"/>
      <c r="I47" s="358">
        <f>+'Exhibit F'!J42</f>
        <v>0</v>
      </c>
      <c r="J47" s="519"/>
      <c r="K47" s="358">
        <f>+'Exhibit F'!L42</f>
        <v>0</v>
      </c>
      <c r="L47" s="1513"/>
      <c r="M47" s="358">
        <f>+'Exhibit F'!N42</f>
        <v>0</v>
      </c>
      <c r="N47" s="1513"/>
      <c r="O47" s="358">
        <f>+'Exhibit F'!P42</f>
        <v>0</v>
      </c>
      <c r="P47" s="1513"/>
      <c r="Q47" s="358">
        <f>+'Exhibit F'!R42</f>
        <v>0</v>
      </c>
      <c r="R47" s="1513"/>
      <c r="S47" s="358">
        <f>+'Exhibit F'!T42+'Exhibit H'!R22</f>
        <v>10163.4</v>
      </c>
      <c r="T47" s="1513"/>
      <c r="U47" s="358">
        <f>+'Exhibit F'!V42+'Exhibit H'!T22</f>
        <v>897.30000000000109</v>
      </c>
      <c r="V47" s="1513"/>
      <c r="W47" s="358"/>
      <c r="X47" s="1513"/>
      <c r="Y47" s="358"/>
      <c r="Z47" s="1513"/>
      <c r="AA47" s="948"/>
      <c r="AB47" s="1615">
        <f t="shared" si="6"/>
        <v>11060.7</v>
      </c>
      <c r="AC47" s="3063"/>
      <c r="AD47" s="3264"/>
      <c r="AE47" s="3265">
        <f>+'Exhibit F'!AF42</f>
        <v>0</v>
      </c>
      <c r="AF47" s="3063"/>
      <c r="AG47" s="3063"/>
      <c r="AH47" s="883">
        <f t="shared" si="7"/>
        <v>11060.7</v>
      </c>
      <c r="AI47" s="112"/>
      <c r="AJ47" s="1708">
        <f>ROUND(IF(AE47=0,1,AH47/ABS(AE47)),3)</f>
        <v>1</v>
      </c>
    </row>
    <row r="48" spans="1:36" ht="16.5" customHeight="1">
      <c r="A48" s="661" t="s">
        <v>1017</v>
      </c>
      <c r="B48" s="661"/>
      <c r="C48" s="358">
        <f>+'Exhibit F'!D43+'Exhibit G'!D34+'Exhibit I'!E27</f>
        <v>68.900000000000006</v>
      </c>
      <c r="D48" s="607"/>
      <c r="E48" s="358">
        <f>+'Exhibit F'!F43+'Exhibit G'!F34+'Exhibit I'!G27</f>
        <v>90.199999999999989</v>
      </c>
      <c r="F48" s="607"/>
      <c r="G48" s="358">
        <f>+'Exhibit F'!H43+'Exhibit G'!H34+'Exhibit I'!I27</f>
        <v>92.6</v>
      </c>
      <c r="H48" s="519"/>
      <c r="I48" s="358">
        <f>+'Exhibit F'!J43+'Exhibit G'!J34+'Exhibit I'!K27</f>
        <v>99.000000000000014</v>
      </c>
      <c r="J48" s="519"/>
      <c r="K48" s="358">
        <f>+'Exhibit F'!L43+'Exhibit G'!L34+'Exhibit I'!M27</f>
        <v>95.80000000000004</v>
      </c>
      <c r="L48" s="222"/>
      <c r="M48" s="358">
        <f>+'Exhibit F'!N43+'Exhibit G'!N34+'Exhibit I'!O27</f>
        <v>77.499999999999986</v>
      </c>
      <c r="N48" s="222"/>
      <c r="O48" s="358">
        <f>+'Exhibit F'!P43+'Exhibit G'!P34+'Exhibit I'!Q27</f>
        <v>92.499999999999986</v>
      </c>
      <c r="P48" s="222"/>
      <c r="Q48" s="358">
        <f>+'Exhibit F'!R43+'Exhibit G'!R34+'Exhibit I'!S27</f>
        <v>92.000000000000014</v>
      </c>
      <c r="R48" s="222"/>
      <c r="S48" s="358">
        <f>+'Exhibit F'!T43+'Exhibit G'!T34+'Exhibit I'!U27</f>
        <v>77.899999999999991</v>
      </c>
      <c r="T48" s="222"/>
      <c r="U48" s="358">
        <f>+'Exhibit F'!V43+'Exhibit G'!V34+'Exhibit I'!W27</f>
        <v>86.599999999999937</v>
      </c>
      <c r="V48" s="222"/>
      <c r="W48" s="358"/>
      <c r="X48" s="222"/>
      <c r="Y48" s="358"/>
      <c r="Z48" s="222"/>
      <c r="AA48" s="948"/>
      <c r="AB48" s="1615">
        <f t="shared" si="6"/>
        <v>873</v>
      </c>
      <c r="AC48" s="3063"/>
      <c r="AD48" s="3264"/>
      <c r="AE48" s="3265">
        <f>+'Exhibit F'!AF43+'Exhibit G'!AG34+'Exhibit I'!AI27</f>
        <v>797</v>
      </c>
      <c r="AF48" s="3063"/>
      <c r="AG48" s="3063"/>
      <c r="AH48" s="883">
        <f t="shared" si="7"/>
        <v>76</v>
      </c>
      <c r="AI48" s="112"/>
      <c r="AJ48" s="1704">
        <f t="shared" si="8"/>
        <v>9.5000000000000001E-2</v>
      </c>
    </row>
    <row r="49" spans="1:36" ht="16.5" customHeight="1">
      <c r="A49" s="307" t="s">
        <v>1012</v>
      </c>
      <c r="B49" s="661"/>
      <c r="C49" s="874">
        <f>ROUND(SUM(C43:C48),1)</f>
        <v>969.8</v>
      </c>
      <c r="D49" s="23"/>
      <c r="E49" s="874">
        <f>ROUND(SUM(E43:E48),1)</f>
        <v>234.5</v>
      </c>
      <c r="F49" s="23"/>
      <c r="G49" s="874">
        <f>ROUND(SUM(G43:G48),1)</f>
        <v>2011.3</v>
      </c>
      <c r="H49" s="222"/>
      <c r="I49" s="874">
        <f>ROUND(SUM(I43:I48),1)</f>
        <v>381.4</v>
      </c>
      <c r="J49" s="222"/>
      <c r="K49" s="874">
        <f>ROUND(SUM(K43:K48),1)</f>
        <v>176.1</v>
      </c>
      <c r="L49" s="222"/>
      <c r="M49" s="874">
        <f>ROUND(SUM(M43:M48),1)</f>
        <v>2111.6999999999998</v>
      </c>
      <c r="N49" s="222"/>
      <c r="O49" s="3069">
        <f>ROUND(SUM(O43:O48),1)</f>
        <v>215.1</v>
      </c>
      <c r="P49" s="222"/>
      <c r="Q49" s="3069">
        <f>ROUND(SUM(Q43:Q48),1)</f>
        <v>80.3</v>
      </c>
      <c r="R49" s="222"/>
      <c r="S49" s="874">
        <f>ROUND(SUM(S43:S48),1)</f>
        <v>12094.9</v>
      </c>
      <c r="T49" s="222"/>
      <c r="U49" s="874">
        <f>ROUND(SUM(U43:U48),1)</f>
        <v>1226.4000000000001</v>
      </c>
      <c r="V49" s="222"/>
      <c r="W49" s="874">
        <f>ROUND(SUM(W43:W48),1)</f>
        <v>0</v>
      </c>
      <c r="X49" s="222"/>
      <c r="Y49" s="874">
        <f>ROUND(SUM(Y43:Y48),1)</f>
        <v>0</v>
      </c>
      <c r="Z49" s="222"/>
      <c r="AA49" s="948"/>
      <c r="AB49" s="3069">
        <f>ROUND(SUM(AB43:AB48),1)</f>
        <v>19501.5</v>
      </c>
      <c r="AC49" s="3063"/>
      <c r="AD49" s="3264"/>
      <c r="AE49" s="3069">
        <f>ROUND(SUM(AE43:AE48),1)</f>
        <v>6248.3</v>
      </c>
      <c r="AF49" s="3063"/>
      <c r="AG49" s="3063"/>
      <c r="AH49" s="3069">
        <f>ROUND(SUM(AH43:AH48),1)</f>
        <v>13253.2</v>
      </c>
      <c r="AI49" s="112"/>
      <c r="AJ49" s="3270">
        <f t="shared" si="8"/>
        <v>2.121</v>
      </c>
    </row>
    <row r="50" spans="1:36" ht="16.5" customHeight="1">
      <c r="A50" s="1039" t="s">
        <v>1052</v>
      </c>
      <c r="B50" s="661"/>
      <c r="C50" s="604"/>
      <c r="D50" s="604"/>
      <c r="E50" s="604"/>
      <c r="F50" s="604"/>
      <c r="G50" s="604"/>
      <c r="H50" s="222"/>
      <c r="I50" s="604"/>
      <c r="J50" s="222"/>
      <c r="K50" s="604"/>
      <c r="L50" s="222"/>
      <c r="M50" s="604"/>
      <c r="N50" s="222"/>
      <c r="O50" s="3349"/>
      <c r="P50" s="222"/>
      <c r="Q50" s="3349"/>
      <c r="R50" s="222"/>
      <c r="S50" s="604"/>
      <c r="T50" s="222"/>
      <c r="U50" s="604"/>
      <c r="V50" s="222"/>
      <c r="W50" s="604"/>
      <c r="X50" s="222"/>
      <c r="Y50" s="604"/>
      <c r="Z50" s="222"/>
      <c r="AA50" s="948"/>
      <c r="AB50" s="3063"/>
      <c r="AC50" s="3063"/>
      <c r="AD50" s="3264"/>
      <c r="AE50" s="3267"/>
      <c r="AF50" s="3063"/>
      <c r="AG50" s="3063"/>
      <c r="AH50" s="112"/>
      <c r="AI50" s="112"/>
      <c r="AJ50" s="3268"/>
    </row>
    <row r="51" spans="1:36" ht="16.5" customHeight="1">
      <c r="A51" s="661" t="s">
        <v>1020</v>
      </c>
      <c r="B51" s="661"/>
      <c r="C51" s="1352">
        <f>+'Exhibit F'!D46</f>
        <v>0</v>
      </c>
      <c r="D51" s="607"/>
      <c r="E51" s="1352">
        <f>+'Exhibit F'!F46</f>
        <v>0</v>
      </c>
      <c r="F51" s="607"/>
      <c r="G51" s="1352">
        <f>+'Exhibit F'!H46</f>
        <v>0</v>
      </c>
      <c r="H51" s="519"/>
      <c r="I51" s="1352">
        <f>+'Exhibit F'!J46</f>
        <v>0</v>
      </c>
      <c r="J51" s="519"/>
      <c r="K51" s="1352">
        <f>+'Exhibit F'!L46</f>
        <v>0</v>
      </c>
      <c r="L51" s="222"/>
      <c r="M51" s="1352">
        <f>+'Exhibit F'!N46</f>
        <v>0</v>
      </c>
      <c r="N51" s="222"/>
      <c r="O51" s="1352">
        <f>+'Exhibit F'!P46</f>
        <v>0</v>
      </c>
      <c r="P51" s="222"/>
      <c r="Q51" s="1352">
        <f>+'Exhibit F'!R46</f>
        <v>0</v>
      </c>
      <c r="R51" s="222"/>
      <c r="S51" s="1352">
        <f>+'Exhibit F'!T46</f>
        <v>0</v>
      </c>
      <c r="T51" s="222"/>
      <c r="U51" s="1352">
        <f>+'Exhibit F'!V46</f>
        <v>0</v>
      </c>
      <c r="V51" s="222"/>
      <c r="W51" s="1352"/>
      <c r="X51" s="222"/>
      <c r="Y51" s="1352"/>
      <c r="Z51" s="222"/>
      <c r="AA51" s="948"/>
      <c r="AB51" s="1615">
        <f t="shared" ref="AB51:AB55" si="9">ROUND(SUM(C51:Y51),1)</f>
        <v>0</v>
      </c>
      <c r="AC51" s="3063"/>
      <c r="AD51" s="3264"/>
      <c r="AE51" s="1768">
        <f>+'Exhibit F'!AF46</f>
        <v>0</v>
      </c>
      <c r="AF51" s="3042"/>
      <c r="AG51" s="3042"/>
      <c r="AH51" s="1979">
        <f t="shared" ref="AH51:AH55" si="10">ROUND(SUM(+AB51-AE51),1)</f>
        <v>0</v>
      </c>
      <c r="AI51" s="1446"/>
      <c r="AJ51" s="1703">
        <f>-ROUND(IF(AE51=0,0,AH51/ABS(AE51)),3)</f>
        <v>0</v>
      </c>
    </row>
    <row r="52" spans="1:36" ht="16.5" customHeight="1">
      <c r="A52" s="661" t="s">
        <v>1021</v>
      </c>
      <c r="B52" s="661"/>
      <c r="C52" s="358">
        <f>+'Exhibit F'!D47</f>
        <v>119.8</v>
      </c>
      <c r="D52" s="607"/>
      <c r="E52" s="358">
        <f>+'Exhibit F'!F47</f>
        <v>117.00000000000001</v>
      </c>
      <c r="F52" s="607"/>
      <c r="G52" s="358">
        <f>+'Exhibit F'!H47</f>
        <v>108.89999999999996</v>
      </c>
      <c r="H52" s="519"/>
      <c r="I52" s="358">
        <f>+'Exhibit F'!J47</f>
        <v>103.10000000000004</v>
      </c>
      <c r="J52" s="519"/>
      <c r="K52" s="358">
        <f>+'Exhibit F'!L47</f>
        <v>100.59999999999998</v>
      </c>
      <c r="L52" s="519"/>
      <c r="M52" s="358">
        <f>+'Exhibit F'!N47</f>
        <v>108.70000000000012</v>
      </c>
      <c r="N52" s="222"/>
      <c r="O52" s="358">
        <f>+'Exhibit F'!P47</f>
        <v>183.19999999999993</v>
      </c>
      <c r="P52" s="222"/>
      <c r="Q52" s="358">
        <f>+'Exhibit F'!R47</f>
        <v>92.500000000000014</v>
      </c>
      <c r="R52" s="222"/>
      <c r="S52" s="358">
        <f>+'Exhibit F'!T47</f>
        <v>111.10000000000015</v>
      </c>
      <c r="T52" s="222"/>
      <c r="U52" s="358">
        <f>+'Exhibit F'!V47</f>
        <v>123.59999999999987</v>
      </c>
      <c r="V52" s="222"/>
      <c r="W52" s="358"/>
      <c r="X52" s="222"/>
      <c r="Y52" s="358"/>
      <c r="Z52" s="222"/>
      <c r="AA52" s="948"/>
      <c r="AB52" s="1615">
        <f t="shared" si="9"/>
        <v>1168.5</v>
      </c>
      <c r="AC52" s="3063"/>
      <c r="AD52" s="3264"/>
      <c r="AE52" s="3265">
        <f>+'Exhibit F'!AF47</f>
        <v>1250</v>
      </c>
      <c r="AF52" s="3063"/>
      <c r="AG52" s="3063"/>
      <c r="AH52" s="883">
        <f t="shared" si="10"/>
        <v>-81.5</v>
      </c>
      <c r="AI52" s="112"/>
      <c r="AJ52" s="1704">
        <f t="shared" ref="AJ52:AJ57" si="11">ROUND(IF(AE52=0,0,AH52/ABS(AE52)),3)</f>
        <v>-6.5000000000000002E-2</v>
      </c>
    </row>
    <row r="53" spans="1:36" ht="16.5" customHeight="1">
      <c r="A53" s="661" t="s">
        <v>1022</v>
      </c>
      <c r="B53" s="661"/>
      <c r="C53" s="358">
        <f>+'Exhibit F'!D48</f>
        <v>1.3</v>
      </c>
      <c r="D53" s="607"/>
      <c r="E53" s="358">
        <f>+'Exhibit F'!F48</f>
        <v>1.0999999999999999</v>
      </c>
      <c r="F53" s="607"/>
      <c r="G53" s="358">
        <f>+'Exhibit F'!H48</f>
        <v>1.1000000000000003</v>
      </c>
      <c r="H53" s="519"/>
      <c r="I53" s="358">
        <f>+'Exhibit F'!J48</f>
        <v>1.0999999999999999</v>
      </c>
      <c r="J53" s="519"/>
      <c r="K53" s="358">
        <f>+'Exhibit F'!L48</f>
        <v>2.1000000000000005</v>
      </c>
      <c r="L53" s="519"/>
      <c r="M53" s="358">
        <f>+'Exhibit F'!N48</f>
        <v>1.7000000000000004</v>
      </c>
      <c r="N53" s="222"/>
      <c r="O53" s="358">
        <f>+'Exhibit F'!P48</f>
        <v>0.99999999999999933</v>
      </c>
      <c r="P53" s="222"/>
      <c r="Q53" s="358">
        <f>+'Exhibit F'!R48</f>
        <v>1.0999999999999999</v>
      </c>
      <c r="R53" s="222"/>
      <c r="S53" s="358">
        <f>+'Exhibit F'!T48</f>
        <v>0.80000000000000093</v>
      </c>
      <c r="T53" s="222"/>
      <c r="U53" s="358">
        <f>+'Exhibit F'!V48</f>
        <v>0.79999999999999893</v>
      </c>
      <c r="V53" s="222"/>
      <c r="W53" s="358"/>
      <c r="X53" s="222"/>
      <c r="Y53" s="358"/>
      <c r="Z53" s="222"/>
      <c r="AA53" s="948"/>
      <c r="AB53" s="1615">
        <f t="shared" si="9"/>
        <v>12.1</v>
      </c>
      <c r="AC53" s="3063"/>
      <c r="AD53" s="3264"/>
      <c r="AE53" s="3265">
        <f>+'Exhibit F'!AF48</f>
        <v>8.6999999999999993</v>
      </c>
      <c r="AF53" s="3063"/>
      <c r="AG53" s="3063"/>
      <c r="AH53" s="883">
        <f t="shared" si="10"/>
        <v>3.4</v>
      </c>
      <c r="AI53" s="112"/>
      <c r="AJ53" s="1704">
        <f t="shared" si="11"/>
        <v>0.39100000000000001</v>
      </c>
    </row>
    <row r="54" spans="1:36" ht="16.5" customHeight="1">
      <c r="A54" s="661" t="s">
        <v>1023</v>
      </c>
      <c r="B54" s="661"/>
      <c r="C54" s="358">
        <f>+'Exhibit F'!D49+'Exhibit H'!B25+'Exhibit I'!E30</f>
        <v>97.4</v>
      </c>
      <c r="D54" s="607"/>
      <c r="E54" s="358">
        <f>+'Exhibit F'!F49+'Exhibit H'!D25+'Exhibit I'!G30</f>
        <v>110</v>
      </c>
      <c r="F54" s="607"/>
      <c r="G54" s="358">
        <f>+'Exhibit F'!H49+'Exhibit H'!F25+'Exhibit I'!I30</f>
        <v>127</v>
      </c>
      <c r="H54" s="519"/>
      <c r="I54" s="358">
        <f>+'Exhibit F'!J49+'Exhibit H'!H25+'Exhibit I'!K30</f>
        <v>143.90000000000003</v>
      </c>
      <c r="J54" s="519"/>
      <c r="K54" s="358">
        <f>+'Exhibit F'!L49+'Exhibit H'!J25+'Exhibit I'!M30</f>
        <v>151.89999999999998</v>
      </c>
      <c r="L54" s="519"/>
      <c r="M54" s="358">
        <f>+'Exhibit F'!N49+'Exhibit H'!L25+'Exhibit I'!O30</f>
        <v>145.29999999999998</v>
      </c>
      <c r="N54" s="222"/>
      <c r="O54" s="358">
        <f>+'Exhibit F'!P49+'Exhibit H'!N25+'Exhibit I'!Q30</f>
        <v>144</v>
      </c>
      <c r="P54" s="222"/>
      <c r="Q54" s="358">
        <f>+'Exhibit F'!R49+'Exhibit H'!P25+'Exhibit I'!S30</f>
        <v>131.29999999999998</v>
      </c>
      <c r="R54" s="222"/>
      <c r="S54" s="358">
        <f>+'Exhibit F'!T49+'Exhibit H'!R25+'Exhibit I'!U30</f>
        <v>146.69999999999999</v>
      </c>
      <c r="T54" s="222"/>
      <c r="U54" s="358">
        <f>+'Exhibit F'!V49+'Exhibit H'!T25+'Exhibit I'!W30</f>
        <v>179.09999999999991</v>
      </c>
      <c r="V54" s="222"/>
      <c r="W54" s="358"/>
      <c r="X54" s="222"/>
      <c r="Y54" s="358"/>
      <c r="Z54" s="222"/>
      <c r="AA54" s="948"/>
      <c r="AB54" s="1615">
        <f t="shared" si="9"/>
        <v>1376.6</v>
      </c>
      <c r="AC54" s="3063"/>
      <c r="AD54" s="3264"/>
      <c r="AE54" s="3265">
        <f>+'Exhibit F'!AF49+'Exhibit H'!AD25+'Exhibit I'!AI30</f>
        <v>769.3</v>
      </c>
      <c r="AF54" s="3063"/>
      <c r="AG54" s="3063"/>
      <c r="AH54" s="883">
        <f t="shared" si="10"/>
        <v>607.29999999999995</v>
      </c>
      <c r="AI54" s="112"/>
      <c r="AJ54" s="1704">
        <f t="shared" si="11"/>
        <v>0.78900000000000003</v>
      </c>
    </row>
    <row r="55" spans="1:36" ht="16.5" customHeight="1">
      <c r="A55" s="661" t="s">
        <v>1541</v>
      </c>
      <c r="B55" s="661"/>
      <c r="C55" s="358">
        <f>+'Exhibit F'!D50</f>
        <v>0</v>
      </c>
      <c r="D55" s="607"/>
      <c r="E55" s="358">
        <f>+'Exhibit F'!F50</f>
        <v>0</v>
      </c>
      <c r="F55" s="607"/>
      <c r="G55" s="358">
        <f>+'Exhibit F'!H50</f>
        <v>0</v>
      </c>
      <c r="H55" s="519"/>
      <c r="I55" s="358">
        <f>+'Exhibit F'!J50</f>
        <v>0</v>
      </c>
      <c r="J55" s="519"/>
      <c r="K55" s="358">
        <f>+'Exhibit F'!L50</f>
        <v>0.1</v>
      </c>
      <c r="L55" s="519"/>
      <c r="M55" s="358">
        <f>+'Exhibit F'!N50</f>
        <v>0.19999999999999998</v>
      </c>
      <c r="N55" s="222"/>
      <c r="O55" s="358">
        <f>+'Exhibit F'!P50</f>
        <v>0.10000000000000003</v>
      </c>
      <c r="P55" s="222"/>
      <c r="Q55" s="358">
        <f>+'Exhibit F'!R50</f>
        <v>0.79999999999999993</v>
      </c>
      <c r="R55" s="222"/>
      <c r="S55" s="358">
        <f>+'Exhibit F'!T50</f>
        <v>9.9999999999999867E-2</v>
      </c>
      <c r="T55" s="222"/>
      <c r="U55" s="358">
        <f>+'Exhibit F'!V50</f>
        <v>0.1</v>
      </c>
      <c r="V55" s="222"/>
      <c r="W55" s="358"/>
      <c r="X55" s="222"/>
      <c r="Y55" s="358"/>
      <c r="Z55" s="222"/>
      <c r="AA55" s="948"/>
      <c r="AB55" s="1615">
        <f t="shared" si="9"/>
        <v>1.4</v>
      </c>
      <c r="AC55" s="3063"/>
      <c r="AD55" s="3264"/>
      <c r="AE55" s="3265">
        <f>+'Exhibit F'!AF50</f>
        <v>0.1</v>
      </c>
      <c r="AF55" s="3063"/>
      <c r="AG55" s="3063"/>
      <c r="AH55" s="883">
        <f t="shared" si="10"/>
        <v>1.3</v>
      </c>
      <c r="AI55" s="112"/>
      <c r="AJ55" s="1708">
        <f>ROUND(IF(AE55=0,0,AH55/ABS(AE55)),3)</f>
        <v>13</v>
      </c>
    </row>
    <row r="56" spans="1:36" ht="16.5" customHeight="1">
      <c r="A56" s="2722" t="s">
        <v>1270</v>
      </c>
      <c r="B56" s="661"/>
      <c r="C56" s="358">
        <f>+'Exhibit F'!D51+'Exhibit H'!B26</f>
        <v>0.2</v>
      </c>
      <c r="D56" s="607"/>
      <c r="E56" s="358">
        <f>+'Exhibit F'!F51+'Exhibit H'!D26</f>
        <v>0.2</v>
      </c>
      <c r="F56" s="607"/>
      <c r="G56" s="358">
        <f>+'Exhibit F'!H51+'Exhibit H'!F26</f>
        <v>0.19999999999999996</v>
      </c>
      <c r="H56" s="519"/>
      <c r="I56" s="358">
        <f>+'Exhibit F'!J51+'Exhibit H'!H26</f>
        <v>0.40000000000000013</v>
      </c>
      <c r="J56" s="519"/>
      <c r="K56" s="358">
        <f>+'Exhibit F'!L51+'Exhibit H'!J26</f>
        <v>0.29999999999999993</v>
      </c>
      <c r="L56" s="1513"/>
      <c r="M56" s="358">
        <f>+'Exhibit F'!N51+'Exhibit H'!L26</f>
        <v>0.30000000000000016</v>
      </c>
      <c r="N56" s="1513"/>
      <c r="O56" s="358">
        <f>+'Exhibit F'!P51+'Exhibit H'!N26</f>
        <v>0.39999999999999991</v>
      </c>
      <c r="P56" s="1513"/>
      <c r="Q56" s="358">
        <f>+'Exhibit F'!R51+'Exhibit H'!P26</f>
        <v>0.29999999999999971</v>
      </c>
      <c r="R56" s="1513"/>
      <c r="S56" s="358">
        <f>+'Exhibit F'!T51+'Exhibit H'!R26</f>
        <v>4.8999999999999995</v>
      </c>
      <c r="T56" s="1513"/>
      <c r="U56" s="358">
        <f>+'Exhibit F'!V51+'Exhibit H'!T26</f>
        <v>5.1000000000000032</v>
      </c>
      <c r="V56" s="1513"/>
      <c r="W56" s="358"/>
      <c r="X56" s="1513"/>
      <c r="Y56" s="358"/>
      <c r="Z56" s="1513"/>
      <c r="AA56" s="948"/>
      <c r="AB56" s="1615">
        <f t="shared" ref="AB56" si="12">ROUND(SUM(C56:Y56),1)</f>
        <v>12.3</v>
      </c>
      <c r="AC56" s="3063"/>
      <c r="AD56" s="3264"/>
      <c r="AE56" s="3265">
        <f>+'Exhibit F'!AF51+'Exhibit H'!AD26</f>
        <v>2.8</v>
      </c>
      <c r="AF56" s="3063"/>
      <c r="AG56" s="3063"/>
      <c r="AH56" s="883">
        <f>ROUND(SUM(+AB56-AE56),1)</f>
        <v>9.5</v>
      </c>
      <c r="AI56" s="3266"/>
      <c r="AJ56" s="1791">
        <f>ROUND(IF(AE56=0,1,AH56/ABS(AE56)),3)</f>
        <v>3.3929999999999998</v>
      </c>
    </row>
    <row r="57" spans="1:36" ht="16.5" customHeight="1">
      <c r="A57" s="307" t="s">
        <v>1018</v>
      </c>
      <c r="B57" s="661"/>
      <c r="C57" s="874">
        <f>ROUND(SUM(C51:C56),1)</f>
        <v>218.7</v>
      </c>
      <c r="D57" s="23"/>
      <c r="E57" s="874">
        <f>ROUND(SUM(E51:E56),1)</f>
        <v>228.3</v>
      </c>
      <c r="F57" s="23"/>
      <c r="G57" s="874">
        <f>ROUND(SUM(G51:G56),1)</f>
        <v>237.2</v>
      </c>
      <c r="H57" s="222"/>
      <c r="I57" s="874">
        <f>ROUND(SUM(I51:I56),1)</f>
        <v>248.5</v>
      </c>
      <c r="J57" s="222"/>
      <c r="K57" s="874">
        <f>ROUND(SUM(K51:K56),1)</f>
        <v>255</v>
      </c>
      <c r="L57" s="222"/>
      <c r="M57" s="874">
        <f>ROUND(SUM(M51:M56),1)</f>
        <v>256.2</v>
      </c>
      <c r="N57" s="222"/>
      <c r="O57" s="3069">
        <f>ROUND(SUM(O51:O56),1)</f>
        <v>328.7</v>
      </c>
      <c r="P57" s="222"/>
      <c r="Q57" s="3069">
        <f>ROUND(SUM(Q51:Q56),1)</f>
        <v>226</v>
      </c>
      <c r="R57" s="222"/>
      <c r="S57" s="874">
        <f>ROUND(SUM(S51:S56),1)</f>
        <v>263.60000000000002</v>
      </c>
      <c r="T57" s="222"/>
      <c r="U57" s="874">
        <f>ROUND(SUM(U51:U56),1)</f>
        <v>308.7</v>
      </c>
      <c r="V57" s="222"/>
      <c r="W57" s="874">
        <f>ROUND(SUM(W51:W56),1)</f>
        <v>0</v>
      </c>
      <c r="X57" s="222"/>
      <c r="Y57" s="874">
        <f>ROUND(SUM(Y51:Y56),1)</f>
        <v>0</v>
      </c>
      <c r="Z57" s="222"/>
      <c r="AA57" s="948"/>
      <c r="AB57" s="3069">
        <f>ROUND(SUM(AB51:AB56),1)</f>
        <v>2570.9</v>
      </c>
      <c r="AC57" s="3063"/>
      <c r="AD57" s="3264"/>
      <c r="AE57" s="3069">
        <f>ROUND(SUM(AE51:AE56),1)</f>
        <v>2030.9</v>
      </c>
      <c r="AF57" s="3063"/>
      <c r="AG57" s="3063"/>
      <c r="AH57" s="3069">
        <f>ROUND(SUM(AH51:AH56),1)</f>
        <v>540</v>
      </c>
      <c r="AI57" s="112"/>
      <c r="AJ57" s="3270">
        <f t="shared" si="11"/>
        <v>0.26600000000000001</v>
      </c>
    </row>
    <row r="58" spans="1:36" ht="16.5" customHeight="1">
      <c r="A58" s="307"/>
      <c r="B58" s="661"/>
      <c r="C58" s="24"/>
      <c r="D58" s="24"/>
      <c r="E58" s="24"/>
      <c r="F58" s="24"/>
      <c r="G58" s="24"/>
      <c r="H58" s="1063"/>
      <c r="I58" s="24"/>
      <c r="J58" s="1063"/>
      <c r="K58" s="24"/>
      <c r="L58" s="1063"/>
      <c r="M58" s="24"/>
      <c r="N58" s="1063"/>
      <c r="O58" s="3350"/>
      <c r="P58" s="1063"/>
      <c r="Q58" s="3350"/>
      <c r="R58" s="1063"/>
      <c r="S58" s="24"/>
      <c r="T58" s="1063"/>
      <c r="U58" s="24"/>
      <c r="V58" s="1063"/>
      <c r="W58" s="24"/>
      <c r="X58" s="1063"/>
      <c r="Y58" s="24"/>
      <c r="Z58" s="222"/>
      <c r="AA58" s="518"/>
      <c r="AB58" s="3070"/>
      <c r="AC58" s="3063"/>
      <c r="AD58" s="3264"/>
      <c r="AE58" s="3070"/>
      <c r="AF58" s="3063"/>
      <c r="AG58" s="3063"/>
      <c r="AH58" s="640"/>
      <c r="AI58" s="3063"/>
      <c r="AJ58" s="640"/>
    </row>
    <row r="59" spans="1:36" ht="16.5" customHeight="1">
      <c r="A59" s="307" t="s">
        <v>1019</v>
      </c>
      <c r="B59" s="27"/>
      <c r="C59" s="25">
        <f>ROUND(SUM(C57+C49+C41+C30),1)</f>
        <v>9192</v>
      </c>
      <c r="D59" s="63"/>
      <c r="E59" s="25">
        <f>ROUND(SUM(E57+E49+E41+E30),1)</f>
        <v>11707.6</v>
      </c>
      <c r="F59" s="63"/>
      <c r="G59" s="25">
        <f>ROUND(SUM(G57+G49+G41+G30),1)</f>
        <v>9981.6</v>
      </c>
      <c r="H59" s="63"/>
      <c r="I59" s="25">
        <f>ROUND(SUM(I57+I49+I41+I30),1)</f>
        <v>5557.9</v>
      </c>
      <c r="J59" s="63"/>
      <c r="K59" s="25">
        <f>ROUND(SUM(K57+K49+K41+K30),1)</f>
        <v>5738.7</v>
      </c>
      <c r="L59" s="63"/>
      <c r="M59" s="25">
        <f>ROUND(SUM(M57+M49+M41+M30),1)</f>
        <v>10766.8</v>
      </c>
      <c r="N59" s="63"/>
      <c r="O59" s="3351">
        <f>ROUND(SUM(O57+O49+O41+O30),1)</f>
        <v>5438.4</v>
      </c>
      <c r="P59" s="63"/>
      <c r="Q59" s="3351">
        <f>ROUND(SUM(Q57+Q49+Q41+Q30),1)</f>
        <v>5416.1</v>
      </c>
      <c r="R59" s="63"/>
      <c r="S59" s="25">
        <f>ROUND(SUM(S57+S49+S41+S30),1)</f>
        <v>20604.400000000001</v>
      </c>
      <c r="T59" s="63"/>
      <c r="U59" s="25">
        <f>ROUND(SUM(U57+U49+U41+U30),1)</f>
        <v>13602.9</v>
      </c>
      <c r="V59" s="63"/>
      <c r="W59" s="25">
        <f>ROUND(SUM(W57+W49+W41+W30),1)</f>
        <v>0</v>
      </c>
      <c r="X59" s="162"/>
      <c r="Y59" s="25">
        <f>ROUND(SUM(Y57+Y49+Y41+Y30),1)</f>
        <v>0</v>
      </c>
      <c r="Z59" s="162"/>
      <c r="AA59" s="42"/>
      <c r="AB59" s="310">
        <f>ROUND(+AB57+AB49+AB41+AB30,1)</f>
        <v>98006.399999999994</v>
      </c>
      <c r="AC59" s="115"/>
      <c r="AD59" s="668"/>
      <c r="AE59" s="310">
        <f>ROUND(+AE57+AE49+AE41+AE30,1)</f>
        <v>68023.5</v>
      </c>
      <c r="AF59" s="64"/>
      <c r="AG59" s="3271"/>
      <c r="AH59" s="310">
        <f>ROUND(+AH57+AH49+AH41+AH30,1)</f>
        <v>29982.9</v>
      </c>
      <c r="AI59" s="1012"/>
      <c r="AJ59" s="3272">
        <f>ROUND(IF(AE59=0,0,AH59/ABS(AE59)),3)</f>
        <v>0.441</v>
      </c>
    </row>
    <row r="60" spans="1:36" ht="16.5" customHeight="1">
      <c r="A60" s="222"/>
      <c r="B60" s="222"/>
      <c r="C60" s="519"/>
      <c r="D60" s="519"/>
      <c r="E60" s="519"/>
      <c r="F60" s="519"/>
      <c r="G60" s="519"/>
      <c r="H60" s="519"/>
      <c r="I60" s="519"/>
      <c r="J60" s="519"/>
      <c r="K60" s="519"/>
      <c r="L60" s="519"/>
      <c r="M60" s="519"/>
      <c r="N60" s="519"/>
      <c r="O60" s="1615"/>
      <c r="P60" s="519"/>
      <c r="Q60" s="1615"/>
      <c r="R60" s="519"/>
      <c r="S60" s="519"/>
      <c r="T60" s="519"/>
      <c r="U60" s="519"/>
      <c r="V60" s="519"/>
      <c r="W60" s="519"/>
      <c r="X60" s="519"/>
      <c r="Y60" s="519"/>
      <c r="Z60" s="519"/>
      <c r="AA60" s="520"/>
      <c r="AB60" s="1615"/>
      <c r="AC60" s="1615"/>
      <c r="AD60" s="3273"/>
      <c r="AE60" s="1615"/>
      <c r="AF60" s="1615"/>
      <c r="AG60" s="1615"/>
      <c r="AH60" s="1615"/>
      <c r="AI60" s="3063"/>
      <c r="AJ60" s="3274"/>
    </row>
    <row r="61" spans="1:36" ht="16.5" customHeight="1">
      <c r="A61" s="258" t="s">
        <v>929</v>
      </c>
      <c r="B61" s="878"/>
      <c r="C61" s="519"/>
      <c r="D61" s="519"/>
      <c r="E61" s="519"/>
      <c r="F61" s="519"/>
      <c r="G61" s="519" t="s">
        <v>14</v>
      </c>
      <c r="H61" s="519"/>
      <c r="I61" s="519" t="s">
        <v>14</v>
      </c>
      <c r="J61" s="519"/>
      <c r="K61" s="519" t="s">
        <v>14</v>
      </c>
      <c r="L61" s="519"/>
      <c r="M61" s="519"/>
      <c r="N61" s="519"/>
      <c r="O61" s="1615"/>
      <c r="P61" s="519"/>
      <c r="Q61" s="1615"/>
      <c r="R61" s="519"/>
      <c r="S61" s="519"/>
      <c r="T61" s="519"/>
      <c r="U61" s="519"/>
      <c r="V61" s="519"/>
      <c r="W61" s="519"/>
      <c r="X61" s="519"/>
      <c r="Y61" s="519"/>
      <c r="Z61" s="519"/>
      <c r="AA61" s="520"/>
      <c r="AB61" s="1615"/>
      <c r="AC61" s="1615"/>
      <c r="AD61" s="3273"/>
      <c r="AE61" s="1615"/>
      <c r="AF61" s="1615"/>
      <c r="AG61" s="1615"/>
      <c r="AH61" s="1615"/>
      <c r="AI61" s="3063"/>
      <c r="AJ61" s="3274"/>
    </row>
    <row r="62" spans="1:36" ht="16.5" customHeight="1">
      <c r="A62" s="880" t="s">
        <v>1044</v>
      </c>
      <c r="B62" s="878"/>
      <c r="C62" s="519"/>
      <c r="D62" s="519"/>
      <c r="E62" s="519"/>
      <c r="F62" s="519"/>
      <c r="G62" s="519"/>
      <c r="H62" s="519"/>
      <c r="I62" s="519"/>
      <c r="J62" s="519"/>
      <c r="K62" s="519"/>
      <c r="L62" s="519"/>
      <c r="M62" s="519"/>
      <c r="N62" s="519"/>
      <c r="O62" s="1615"/>
      <c r="P62" s="519"/>
      <c r="Q62" s="1615"/>
      <c r="R62" s="519"/>
      <c r="S62" s="519"/>
      <c r="T62" s="519"/>
      <c r="U62" s="519"/>
      <c r="V62" s="519"/>
      <c r="W62" s="519"/>
      <c r="X62" s="519"/>
      <c r="Y62" s="519"/>
      <c r="Z62" s="519"/>
      <c r="AA62" s="520"/>
      <c r="AB62" s="1615"/>
      <c r="AC62" s="1615"/>
      <c r="AD62" s="3273"/>
      <c r="AE62" s="1615"/>
      <c r="AF62" s="1615"/>
      <c r="AG62" s="1615"/>
      <c r="AH62" s="1615"/>
      <c r="AI62" s="3063"/>
      <c r="AJ62" s="3274"/>
    </row>
    <row r="63" spans="1:36" ht="16.5" customHeight="1">
      <c r="A63" s="880" t="s">
        <v>927</v>
      </c>
      <c r="B63" s="880"/>
      <c r="C63" s="519">
        <f>+'Exhibit F'!D58+'Exhibit G'!D41</f>
        <v>1.3</v>
      </c>
      <c r="D63" s="519"/>
      <c r="E63" s="519">
        <f>+'Exhibit F'!F58+'Exhibit G'!F41</f>
        <v>0.99999999999999989</v>
      </c>
      <c r="F63" s="519"/>
      <c r="G63" s="519">
        <f>+'Exhibit F'!H58+'Exhibit G'!H41</f>
        <v>0.80000000000000038</v>
      </c>
      <c r="H63" s="519"/>
      <c r="I63" s="519">
        <f>+'Exhibit F'!J58+'Exhibit G'!J41</f>
        <v>0.8999999999999998</v>
      </c>
      <c r="J63" s="519"/>
      <c r="K63" s="519">
        <f>+'Exhibit F'!L58+'Exhibit G'!L41</f>
        <v>10.9</v>
      </c>
      <c r="L63" s="519"/>
      <c r="M63" s="519">
        <f>+'Exhibit F'!N58+'Exhibit G'!N41</f>
        <v>101.2</v>
      </c>
      <c r="N63" s="519"/>
      <c r="O63" s="519">
        <f>+'Exhibit F'!P58+'Exhibit G'!P41</f>
        <v>1</v>
      </c>
      <c r="P63" s="519"/>
      <c r="Q63" s="519">
        <f>+'Exhibit F'!R58+'Exhibit G'!R41</f>
        <v>226.3</v>
      </c>
      <c r="R63" s="519"/>
      <c r="S63" s="519">
        <f>+'Exhibit F'!T58+'Exhibit G'!T41</f>
        <v>0.99999999999999956</v>
      </c>
      <c r="T63" s="519"/>
      <c r="U63" s="519">
        <f>+'Exhibit F'!V58+'Exhibit G'!V41</f>
        <v>0.89999999999999991</v>
      </c>
      <c r="V63" s="519"/>
      <c r="W63" s="519"/>
      <c r="X63" s="519"/>
      <c r="Y63" s="519"/>
      <c r="Z63" s="519"/>
      <c r="AA63" s="520"/>
      <c r="AB63" s="1615">
        <f t="shared" ref="AB63:AB104" si="13">ROUND(SUM(C63:Y63),1)</f>
        <v>345.3</v>
      </c>
      <c r="AC63" s="1615"/>
      <c r="AD63" s="3273"/>
      <c r="AE63" s="1615">
        <f>+'Exhibit F'!AF58+'Exhibit G'!AG41</f>
        <v>380.6</v>
      </c>
      <c r="AF63" s="1615"/>
      <c r="AG63" s="1615"/>
      <c r="AH63" s="1615">
        <f t="shared" ref="AH63:AH104" si="14">ROUND(SUM(AB63-AE63),1)</f>
        <v>-35.299999999999997</v>
      </c>
      <c r="AI63" s="3063"/>
      <c r="AJ63" s="1704">
        <f>ROUND(IF(AE63=0,0,AH63/ABS(AE63)),3)</f>
        <v>-9.2999999999999999E-2</v>
      </c>
    </row>
    <row r="64" spans="1:36" ht="16.5" customHeight="1">
      <c r="A64" s="880" t="s">
        <v>928</v>
      </c>
      <c r="B64" s="880"/>
      <c r="C64" s="519">
        <f>+'Exhibit F'!D59+'Exhibit I'!E37</f>
        <v>1</v>
      </c>
      <c r="D64" s="519"/>
      <c r="E64" s="519">
        <f>+'Exhibit F'!F59+'Exhibit I'!G37</f>
        <v>0.30000000000000004</v>
      </c>
      <c r="F64" s="519"/>
      <c r="G64" s="519">
        <f>+'Exhibit F'!H59+'Exhibit I'!I37</f>
        <v>31.1</v>
      </c>
      <c r="H64" s="519"/>
      <c r="I64" s="519">
        <f>+'Exhibit F'!J59+'Exhibit I'!K37</f>
        <v>2</v>
      </c>
      <c r="J64" s="519"/>
      <c r="K64" s="519">
        <f>+'Exhibit F'!L59+'Exhibit I'!M37</f>
        <v>0.19999999999999929</v>
      </c>
      <c r="L64" s="519"/>
      <c r="M64" s="519">
        <f>+'Exhibit F'!N59+'Exhibit I'!O37</f>
        <v>34.9</v>
      </c>
      <c r="N64" s="519"/>
      <c r="O64" s="519">
        <f>+'Exhibit F'!P59+'Exhibit I'!Q37</f>
        <v>1.5000000000000053</v>
      </c>
      <c r="P64" s="519"/>
      <c r="Q64" s="519">
        <f>+'Exhibit F'!R59+'Exhibit I'!S37</f>
        <v>0.70000000000000107</v>
      </c>
      <c r="R64" s="519"/>
      <c r="S64" s="519">
        <f>+'Exhibit F'!T59+'Exhibit I'!U37</f>
        <v>29.300000000000004</v>
      </c>
      <c r="T64" s="519"/>
      <c r="U64" s="519">
        <f>+'Exhibit F'!V59+'Exhibit I'!W37</f>
        <v>0.89999999999999325</v>
      </c>
      <c r="V64" s="519"/>
      <c r="W64" s="519"/>
      <c r="X64" s="519"/>
      <c r="Y64" s="519"/>
      <c r="Z64" s="519"/>
      <c r="AA64" s="520"/>
      <c r="AB64" s="1615">
        <f t="shared" si="13"/>
        <v>101.9</v>
      </c>
      <c r="AC64" s="1615"/>
      <c r="AD64" s="3273"/>
      <c r="AE64" s="1615">
        <f>+'Exhibit F'!AF59+'Exhibit I'!AI37</f>
        <v>108.3</v>
      </c>
      <c r="AF64" s="1615"/>
      <c r="AG64" s="1615"/>
      <c r="AH64" s="1615">
        <f t="shared" si="14"/>
        <v>-6.4</v>
      </c>
      <c r="AI64" s="3063"/>
      <c r="AJ64" s="1704">
        <f>ROUND(IF(AE64=0,0,AH64/ABS(AE64)),3)</f>
        <v>-5.8999999999999997E-2</v>
      </c>
    </row>
    <row r="65" spans="1:36" ht="16.5" customHeight="1">
      <c r="A65" s="880" t="s">
        <v>1045</v>
      </c>
      <c r="B65" s="880"/>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20"/>
      <c r="AB65" s="1615"/>
      <c r="AC65" s="1615"/>
      <c r="AD65" s="3273"/>
      <c r="AE65" s="1615"/>
      <c r="AF65" s="1615"/>
      <c r="AG65" s="1615"/>
      <c r="AH65" s="1615"/>
      <c r="AI65" s="3063"/>
      <c r="AJ65" s="1704"/>
    </row>
    <row r="66" spans="1:36" ht="16.5" customHeight="1">
      <c r="A66" s="880" t="s">
        <v>932</v>
      </c>
      <c r="B66" s="880"/>
      <c r="C66" s="519">
        <f>+'Exhibit F'!D61+'Exhibit G'!D43+'Exhibit I'!E39</f>
        <v>79.2</v>
      </c>
      <c r="D66" s="519"/>
      <c r="E66" s="519">
        <f>+'Exhibit F'!F61+'Exhibit G'!F43+'Exhibit I'!G39</f>
        <v>48.3</v>
      </c>
      <c r="F66" s="519"/>
      <c r="G66" s="519">
        <f>+'Exhibit F'!H61+'Exhibit G'!H43+'Exhibit I'!I39</f>
        <v>67.400000000000006</v>
      </c>
      <c r="H66" s="519"/>
      <c r="I66" s="519">
        <f>+'Exhibit F'!J61+'Exhibit G'!J43+'Exhibit I'!K39</f>
        <v>101.89999999999998</v>
      </c>
      <c r="J66" s="519"/>
      <c r="K66" s="519">
        <f>+'Exhibit F'!L61+'Exhibit G'!L43+'Exhibit I'!M39</f>
        <v>37.200000000000024</v>
      </c>
      <c r="L66" s="519"/>
      <c r="M66" s="519">
        <f>+'Exhibit F'!N61+'Exhibit G'!N43+'Exhibit I'!O39</f>
        <v>35.799999999999997</v>
      </c>
      <c r="N66" s="519"/>
      <c r="O66" s="519">
        <f>+'Exhibit F'!P61+'Exhibit G'!P43+'Exhibit I'!Q39</f>
        <v>99.900000000000034</v>
      </c>
      <c r="P66" s="519"/>
      <c r="Q66" s="519">
        <f>+'Exhibit F'!R61+'Exhibit G'!R43+'Exhibit I'!S39</f>
        <v>17.599999999999952</v>
      </c>
      <c r="R66" s="519"/>
      <c r="S66" s="519">
        <f>+'Exhibit F'!T61+'Exhibit G'!T43+'Exhibit I'!U39</f>
        <v>176.40000000000003</v>
      </c>
      <c r="T66" s="519"/>
      <c r="U66" s="519">
        <f>+'Exhibit F'!V61+'Exhibit G'!V43+'Exhibit I'!W39</f>
        <v>41.39999999999997</v>
      </c>
      <c r="V66" s="519"/>
      <c r="W66" s="519"/>
      <c r="X66" s="519"/>
      <c r="Y66" s="519"/>
      <c r="Z66" s="519"/>
      <c r="AA66" s="520"/>
      <c r="AB66" s="1615">
        <f>ROUND(SUM(C66:Y66),1)</f>
        <v>705.1</v>
      </c>
      <c r="AC66" s="1615"/>
      <c r="AD66" s="3273"/>
      <c r="AE66" s="1615">
        <f>+'Exhibit F'!AF61+'Exhibit G'!AG43+'Exhibit I'!AI39</f>
        <v>686</v>
      </c>
      <c r="AF66" s="1615"/>
      <c r="AG66" s="1615"/>
      <c r="AH66" s="1615">
        <f t="shared" si="14"/>
        <v>19.100000000000001</v>
      </c>
      <c r="AI66" s="3063"/>
      <c r="AJ66" s="1704">
        <f>ROUND(IF(AE66=0,0,AH66/ABS(AE66)),3)</f>
        <v>2.8000000000000001E-2</v>
      </c>
    </row>
    <row r="67" spans="1:36" ht="16.5" customHeight="1">
      <c r="A67" s="880" t="s">
        <v>933</v>
      </c>
      <c r="B67" s="880"/>
      <c r="C67" s="519">
        <f>+'Exhibit F'!D62+'Exhibit G'!D44</f>
        <v>484.5</v>
      </c>
      <c r="D67" s="519"/>
      <c r="E67" s="519">
        <f>+'Exhibit F'!F62+'Exhibit G'!F44</f>
        <v>533.89999999999986</v>
      </c>
      <c r="F67" s="519"/>
      <c r="G67" s="519">
        <f>+'Exhibit F'!H62+'Exhibit G'!H44</f>
        <v>544.90000000000009</v>
      </c>
      <c r="H67" s="519"/>
      <c r="I67" s="519">
        <f>+'Exhibit F'!J62+'Exhibit G'!J44</f>
        <v>526.30000000000018</v>
      </c>
      <c r="J67" s="519"/>
      <c r="K67" s="519">
        <f>+'Exhibit F'!L62+'Exhibit G'!L44</f>
        <v>536.0999999999998</v>
      </c>
      <c r="L67" s="519"/>
      <c r="M67" s="519">
        <f>+'Exhibit F'!N62+'Exhibit G'!N44</f>
        <v>530.40000000000032</v>
      </c>
      <c r="N67" s="519"/>
      <c r="O67" s="519">
        <f>+'Exhibit F'!P62+'Exhibit G'!P44</f>
        <v>514.69999999999959</v>
      </c>
      <c r="P67" s="519"/>
      <c r="Q67" s="519">
        <f>+'Exhibit F'!R62+'Exhibit G'!R44</f>
        <v>527.40000000000032</v>
      </c>
      <c r="R67" s="519"/>
      <c r="S67" s="519">
        <f>+'Exhibit F'!T62+'Exhibit G'!T44</f>
        <v>555.09999999999923</v>
      </c>
      <c r="T67" s="519"/>
      <c r="U67" s="519">
        <f>+'Exhibit F'!V62+'Exhibit G'!V44</f>
        <v>511.90000000000055</v>
      </c>
      <c r="V67" s="519"/>
      <c r="W67" s="519"/>
      <c r="X67" s="519"/>
      <c r="Y67" s="519"/>
      <c r="Z67" s="519"/>
      <c r="AA67" s="520"/>
      <c r="AB67" s="1615">
        <f t="shared" si="13"/>
        <v>5265.2</v>
      </c>
      <c r="AC67" s="1615"/>
      <c r="AD67" s="3273"/>
      <c r="AE67" s="1615">
        <f>+'Exhibit F'!AF62+'Exhibit G'!AG44+'Exhibit H'!AD33</f>
        <v>4924.6000000000004</v>
      </c>
      <c r="AF67" s="1615"/>
      <c r="AG67" s="1615"/>
      <c r="AH67" s="1615">
        <f t="shared" si="14"/>
        <v>340.6</v>
      </c>
      <c r="AI67" s="3063"/>
      <c r="AJ67" s="1704">
        <f>ROUND(IF(AE67=0,0,AH67/ABS(AE67)),3)</f>
        <v>6.9000000000000006E-2</v>
      </c>
    </row>
    <row r="68" spans="1:36" ht="16.5" customHeight="1">
      <c r="A68" s="880" t="s">
        <v>934</v>
      </c>
      <c r="B68" s="880"/>
      <c r="C68" s="519">
        <f>+'Exhibit F'!D63+'Exhibit G'!D45</f>
        <v>1.5</v>
      </c>
      <c r="D68" s="519"/>
      <c r="E68" s="519">
        <f>+'Exhibit F'!F63+'Exhibit G'!F45</f>
        <v>0</v>
      </c>
      <c r="F68" s="519"/>
      <c r="G68" s="519">
        <f>+'Exhibit F'!H63+'Exhibit G'!H45</f>
        <v>0.70000000000000018</v>
      </c>
      <c r="H68" s="519"/>
      <c r="I68" s="519">
        <f>+'Exhibit F'!J63+'Exhibit G'!J45</f>
        <v>0</v>
      </c>
      <c r="J68" s="519"/>
      <c r="K68" s="519">
        <f>+'Exhibit F'!L63+'Exhibit G'!L45</f>
        <v>9.9999999999999645E-2</v>
      </c>
      <c r="L68" s="519"/>
      <c r="M68" s="519">
        <f>+'Exhibit F'!N63+'Exhibit G'!N45</f>
        <v>44.4</v>
      </c>
      <c r="N68" s="519"/>
      <c r="O68" s="519">
        <f>+'Exhibit F'!P63+'Exhibit G'!P45</f>
        <v>-0.70000000000000284</v>
      </c>
      <c r="P68" s="519"/>
      <c r="Q68" s="519">
        <f>+'Exhibit F'!R63+'Exhibit G'!R45</f>
        <v>-12.199999999999996</v>
      </c>
      <c r="R68" s="519"/>
      <c r="S68" s="519">
        <f>+'Exhibit F'!T63+'Exhibit G'!T45</f>
        <v>0.79999999999999716</v>
      </c>
      <c r="T68" s="519"/>
      <c r="U68" s="519">
        <f>+'Exhibit F'!V63+'Exhibit G'!V45</f>
        <v>-0.10000000000000142</v>
      </c>
      <c r="V68" s="519"/>
      <c r="W68" s="519"/>
      <c r="X68" s="519"/>
      <c r="Y68" s="519"/>
      <c r="Z68" s="519"/>
      <c r="AA68" s="520"/>
      <c r="AB68" s="1615">
        <f t="shared" si="13"/>
        <v>34.5</v>
      </c>
      <c r="AC68" s="1615"/>
      <c r="AD68" s="3273"/>
      <c r="AE68" s="1615">
        <f>+'Exhibit F'!AF63+'Exhibit G'!AG45</f>
        <v>39.700000000000003</v>
      </c>
      <c r="AF68" s="1615"/>
      <c r="AG68" s="1615"/>
      <c r="AH68" s="1615">
        <f t="shared" si="14"/>
        <v>-5.2</v>
      </c>
      <c r="AI68" s="3063"/>
      <c r="AJ68" s="3269">
        <f>ROUND(IF(AE68=0,0,AH68/ABS(AE68)),3)</f>
        <v>-0.13100000000000001</v>
      </c>
    </row>
    <row r="69" spans="1:36" ht="16.5" customHeight="1">
      <c r="A69" s="880" t="s">
        <v>935</v>
      </c>
      <c r="B69" s="880"/>
      <c r="C69" s="519">
        <f>+'Exhibit F'!D64+'Exhibit G'!D46</f>
        <v>0</v>
      </c>
      <c r="D69" s="519"/>
      <c r="E69" s="519">
        <f>+'Exhibit F'!F64+'Exhibit G'!F46</f>
        <v>0.1</v>
      </c>
      <c r="F69" s="519"/>
      <c r="G69" s="519">
        <f>+'Exhibit F'!H64+'Exhibit G'!H46</f>
        <v>0</v>
      </c>
      <c r="H69" s="519"/>
      <c r="I69" s="519">
        <f>+'Exhibit F'!J64+'Exhibit G'!J46</f>
        <v>0.1</v>
      </c>
      <c r="J69" s="519"/>
      <c r="K69" s="519">
        <f>+'Exhibit F'!L64+'Exhibit G'!L46</f>
        <v>0.1</v>
      </c>
      <c r="L69" s="519"/>
      <c r="M69" s="519">
        <f>+'Exhibit F'!N64+'Exhibit G'!N46</f>
        <v>0.1</v>
      </c>
      <c r="N69" s="519"/>
      <c r="O69" s="519">
        <f>+'Exhibit F'!P64+'Exhibit G'!P46</f>
        <v>0.1</v>
      </c>
      <c r="P69" s="519"/>
      <c r="Q69" s="519">
        <f>+'Exhibit F'!R64+'Exhibit G'!R46</f>
        <v>0.30000000000000004</v>
      </c>
      <c r="R69" s="519"/>
      <c r="S69" s="519">
        <f>+'Exhibit F'!T64+'Exhibit G'!T46</f>
        <v>-0.20000000000000004</v>
      </c>
      <c r="T69" s="519"/>
      <c r="U69" s="519">
        <f>+'Exhibit F'!V64+'Exhibit G'!V46</f>
        <v>-0.8</v>
      </c>
      <c r="V69" s="519"/>
      <c r="W69" s="519"/>
      <c r="X69" s="519"/>
      <c r="Y69" s="519"/>
      <c r="Z69" s="519"/>
      <c r="AA69" s="520"/>
      <c r="AB69" s="1615">
        <f t="shared" si="13"/>
        <v>-0.2</v>
      </c>
      <c r="AC69" s="1615"/>
      <c r="AD69" s="3273"/>
      <c r="AE69" s="1615">
        <f>+'Exhibit F'!AF64+'Exhibit G'!AG46</f>
        <v>0.2</v>
      </c>
      <c r="AF69" s="1615"/>
      <c r="AG69" s="1615"/>
      <c r="AH69" s="1615">
        <f t="shared" si="14"/>
        <v>-0.4</v>
      </c>
      <c r="AI69" s="3063"/>
      <c r="AJ69" s="1704">
        <f>ROUND(IF(AE69=0,0,AH69/ABS(AE69)),3)</f>
        <v>-2</v>
      </c>
    </row>
    <row r="70" spans="1:36" ht="16.5" customHeight="1">
      <c r="A70" s="880" t="s">
        <v>1049</v>
      </c>
      <c r="B70" s="880"/>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20"/>
      <c r="AB70" s="1615"/>
      <c r="AC70" s="1615"/>
      <c r="AD70" s="3273"/>
      <c r="AE70" s="1615"/>
      <c r="AF70" s="1615"/>
      <c r="AG70" s="1615"/>
      <c r="AH70" s="1615"/>
      <c r="AI70" s="3063"/>
      <c r="AJ70" s="1704"/>
    </row>
    <row r="71" spans="1:36" ht="16.5" customHeight="1">
      <c r="A71" s="880" t="s">
        <v>936</v>
      </c>
      <c r="B71" s="880"/>
      <c r="C71" s="519">
        <f>+'Exhibit F'!D66+'Exhibit H'!B35</f>
        <v>5.3</v>
      </c>
      <c r="D71" s="519"/>
      <c r="E71" s="519">
        <f>+'Exhibit F'!F66+'Exhibit H'!D35</f>
        <v>5.5000000000000009</v>
      </c>
      <c r="F71" s="519"/>
      <c r="G71" s="519">
        <f>+'Exhibit F'!H66+'Exhibit H'!F35</f>
        <v>6.9999999999999991</v>
      </c>
      <c r="H71" s="519"/>
      <c r="I71" s="519">
        <f>+'Exhibit F'!J66+'Exhibit H'!H35</f>
        <v>6.2</v>
      </c>
      <c r="J71" s="519"/>
      <c r="K71" s="519">
        <f>+'Exhibit F'!L66+'Exhibit H'!J35</f>
        <v>6.2</v>
      </c>
      <c r="L71" s="519"/>
      <c r="M71" s="519">
        <f>+'Exhibit F'!N66+'Exhibit H'!L35</f>
        <v>5.0000000000000044</v>
      </c>
      <c r="N71" s="519"/>
      <c r="O71" s="519">
        <f>+'Exhibit F'!P66+'Exhibit H'!N35</f>
        <v>5.5999999999999988</v>
      </c>
      <c r="P71" s="519"/>
      <c r="Q71" s="519">
        <f>+'Exhibit F'!R66+'Exhibit H'!P35</f>
        <v>4.3000000000000052</v>
      </c>
      <c r="R71" s="519"/>
      <c r="S71" s="519">
        <f>+'Exhibit F'!T66+'Exhibit H'!R35</f>
        <v>3.799999999999998</v>
      </c>
      <c r="T71" s="519"/>
      <c r="U71" s="519">
        <f>+'Exhibit F'!V66+'Exhibit H'!T35</f>
        <v>9.899999999999995</v>
      </c>
      <c r="V71" s="519"/>
      <c r="W71" s="519"/>
      <c r="X71" s="519"/>
      <c r="Y71" s="519"/>
      <c r="Z71" s="519"/>
      <c r="AA71" s="520"/>
      <c r="AB71" s="1615">
        <f t="shared" si="13"/>
        <v>58.8</v>
      </c>
      <c r="AC71" s="1615"/>
      <c r="AD71" s="3273"/>
      <c r="AE71" s="1615">
        <f>+'Exhibit F'!AF66+'Exhibit H'!AD35</f>
        <v>39.799999999999997</v>
      </c>
      <c r="AF71" s="1615"/>
      <c r="AG71" s="1615"/>
      <c r="AH71" s="1615">
        <f t="shared" si="14"/>
        <v>19</v>
      </c>
      <c r="AI71" s="3063"/>
      <c r="AJ71" s="1704">
        <f t="shared" ref="AJ71:AJ78" si="15">ROUND(IF(AE71=0,0,AH71/ABS(AE71)),3)</f>
        <v>0.47699999999999998</v>
      </c>
    </row>
    <row r="72" spans="1:36" ht="16.5" customHeight="1">
      <c r="A72" s="880" t="s">
        <v>1140</v>
      </c>
      <c r="B72" s="880"/>
      <c r="C72" s="519">
        <f>'Exhibit G'!D48</f>
        <v>0</v>
      </c>
      <c r="D72" s="519"/>
      <c r="E72" s="519">
        <f>'Exhibit G'!F48</f>
        <v>0</v>
      </c>
      <c r="F72" s="519"/>
      <c r="G72" s="519">
        <f>'Exhibit G'!H48</f>
        <v>0</v>
      </c>
      <c r="H72" s="519"/>
      <c r="I72" s="519">
        <f>'Exhibit G'!J48</f>
        <v>0.7</v>
      </c>
      <c r="J72" s="519"/>
      <c r="K72" s="519">
        <f>'Exhibit G'!L48</f>
        <v>1.5000000000000002</v>
      </c>
      <c r="L72" s="519"/>
      <c r="M72" s="519">
        <f>'Exhibit G'!N48</f>
        <v>9.9999999999999645E-2</v>
      </c>
      <c r="N72" s="519"/>
      <c r="O72" s="519">
        <f>'Exhibit G'!P48</f>
        <v>0</v>
      </c>
      <c r="P72" s="519"/>
      <c r="Q72" s="519">
        <f>'Exhibit G'!R48</f>
        <v>0</v>
      </c>
      <c r="R72" s="519"/>
      <c r="S72" s="519">
        <f>'Exhibit G'!T48</f>
        <v>0.20000000000000018</v>
      </c>
      <c r="T72" s="519"/>
      <c r="U72" s="519">
        <f>'Exhibit G'!V48</f>
        <v>0</v>
      </c>
      <c r="V72" s="519"/>
      <c r="W72" s="519"/>
      <c r="X72" s="519"/>
      <c r="Y72" s="519"/>
      <c r="Z72" s="519"/>
      <c r="AA72" s="949"/>
      <c r="AB72" s="1615">
        <f t="shared" si="13"/>
        <v>2.5</v>
      </c>
      <c r="AC72" s="1615"/>
      <c r="AD72" s="3273"/>
      <c r="AE72" s="1615">
        <f>'Exhibit G'!AG48</f>
        <v>2.2000000000000002</v>
      </c>
      <c r="AF72" s="1615"/>
      <c r="AG72" s="1615"/>
      <c r="AH72" s="1615">
        <f>ROUND(SUM(AB72-AE72),1)</f>
        <v>0.3</v>
      </c>
      <c r="AI72" s="3063"/>
      <c r="AJ72" s="1703">
        <f>ROUND(IF(AE72=0,0,AH72/ABS(AE72)),3)</f>
        <v>0.13600000000000001</v>
      </c>
    </row>
    <row r="73" spans="1:36" ht="16.5" customHeight="1">
      <c r="A73" s="880" t="s">
        <v>937</v>
      </c>
      <c r="B73" s="880"/>
      <c r="C73" s="519">
        <f>+'Exhibit F'!D68+'Exhibit G'!D49+'Exhibit I'!E41+'Exhibit H'!B36</f>
        <v>53.9</v>
      </c>
      <c r="D73" s="519"/>
      <c r="E73" s="519">
        <f>+'Exhibit F'!F68+'Exhibit G'!F49+'Exhibit I'!G41+'Exhibit H'!D36</f>
        <v>49.1</v>
      </c>
      <c r="F73" s="519"/>
      <c r="G73" s="519">
        <f>+'Exhibit F'!H68+'Exhibit G'!H49+'Exhibit I'!I41+'Exhibit H'!F36</f>
        <v>127.10000000000001</v>
      </c>
      <c r="H73" s="519"/>
      <c r="I73" s="519">
        <f>+'Exhibit F'!J68+'Exhibit G'!J49+'Exhibit I'!K41+'Exhibit H'!H36</f>
        <v>52.20000000000001</v>
      </c>
      <c r="J73" s="519"/>
      <c r="K73" s="519">
        <f>+'Exhibit F'!L68+'Exhibit G'!L49+'Exhibit I'!M41+'Exhibit H'!J36</f>
        <v>65.399999999999991</v>
      </c>
      <c r="L73" s="519"/>
      <c r="M73" s="519">
        <f>+'Exhibit F'!N68+'Exhibit G'!N49+'Exhibit I'!O41+'Exhibit H'!L36</f>
        <v>131.69999999999999</v>
      </c>
      <c r="N73" s="519"/>
      <c r="O73" s="519">
        <f>+'Exhibit F'!P68+'Exhibit G'!P49+'Exhibit I'!Q41+'Exhibit H'!N36</f>
        <v>58.899999999999984</v>
      </c>
      <c r="P73" s="519"/>
      <c r="Q73" s="519">
        <f>+'Exhibit F'!R68+'Exhibit G'!R49+'Exhibit I'!S41+'Exhibit H'!P36</f>
        <v>62.300000000000018</v>
      </c>
      <c r="R73" s="519"/>
      <c r="S73" s="519">
        <f>+'Exhibit F'!T68+'Exhibit G'!T49+'Exhibit I'!U41+'Exhibit H'!R36</f>
        <v>126.89999999999998</v>
      </c>
      <c r="T73" s="519"/>
      <c r="U73" s="519">
        <f>+'Exhibit F'!V68+'Exhibit G'!V49+'Exhibit I'!W41+'Exhibit H'!T36</f>
        <v>82.999999999999886</v>
      </c>
      <c r="V73" s="519"/>
      <c r="W73" s="519"/>
      <c r="X73" s="519"/>
      <c r="Y73" s="519"/>
      <c r="Z73" s="519"/>
      <c r="AA73" s="520"/>
      <c r="AB73" s="1615">
        <f t="shared" si="13"/>
        <v>810.5</v>
      </c>
      <c r="AC73" s="1615"/>
      <c r="AD73" s="3273"/>
      <c r="AE73" s="1615">
        <f>+'Exhibit F'!AF68+'Exhibit G'!AG49+'Exhibit I'!AI41+'Exhibit H'!AD36</f>
        <v>804.2</v>
      </c>
      <c r="AF73" s="1615"/>
      <c r="AG73" s="1615"/>
      <c r="AH73" s="1615">
        <f>ROUND(SUM(AB73-AE73),1)</f>
        <v>6.3</v>
      </c>
      <c r="AI73" s="3063"/>
      <c r="AJ73" s="1704">
        <f>ROUND(IF(AE73=0,0,AH73/ABS(AE73)),3)</f>
        <v>8.0000000000000002E-3</v>
      </c>
    </row>
    <row r="74" spans="1:36" ht="16.5" customHeight="1">
      <c r="A74" s="880" t="s">
        <v>938</v>
      </c>
      <c r="B74" s="880"/>
      <c r="C74" s="519">
        <f>+'Exhibit F'!D69+'Exhibit G'!D50+'Exhibit H'!B37</f>
        <v>25.9</v>
      </c>
      <c r="D74" s="519"/>
      <c r="E74" s="519">
        <f>+'Exhibit F'!F69+'Exhibit G'!F50+'Exhibit H'!D37</f>
        <v>28.200000000000003</v>
      </c>
      <c r="F74" s="519"/>
      <c r="G74" s="519">
        <f>+'Exhibit F'!H69+'Exhibit G'!H50+'Exhibit H'!F37</f>
        <v>18.900000000000002</v>
      </c>
      <c r="H74" s="519"/>
      <c r="I74" s="519">
        <f>+'Exhibit F'!J69+'Exhibit G'!J50+'Exhibit H'!H37</f>
        <v>19.900000000000006</v>
      </c>
      <c r="J74" s="519"/>
      <c r="K74" s="519">
        <f>+'Exhibit F'!L69+'Exhibit G'!L50+'Exhibit H'!J37</f>
        <v>26</v>
      </c>
      <c r="L74" s="519"/>
      <c r="M74" s="519">
        <f>+'Exhibit F'!N69+'Exhibit G'!N50+'Exhibit H'!L37</f>
        <v>23.4</v>
      </c>
      <c r="N74" s="519"/>
      <c r="O74" s="519">
        <f>+'Exhibit F'!P69+'Exhibit G'!P50+'Exhibit H'!N37</f>
        <v>20.200000000000006</v>
      </c>
      <c r="P74" s="519"/>
      <c r="Q74" s="519">
        <f>+'Exhibit F'!R69+'Exhibit G'!R50+'Exhibit H'!P37</f>
        <v>27.899999999999991</v>
      </c>
      <c r="R74" s="519"/>
      <c r="S74" s="519">
        <f>+'Exhibit F'!T69+'Exhibit G'!T50+'Exhibit H'!R37</f>
        <v>19.200000000000003</v>
      </c>
      <c r="T74" s="519"/>
      <c r="U74" s="519">
        <f>+'Exhibit F'!V69+'Exhibit G'!V50+'Exhibit H'!T37</f>
        <v>16.699999999999971</v>
      </c>
      <c r="V74" s="519"/>
      <c r="W74" s="519"/>
      <c r="X74" s="519"/>
      <c r="Y74" s="519"/>
      <c r="Z74" s="519"/>
      <c r="AA74" s="520"/>
      <c r="AB74" s="1615">
        <f t="shared" si="13"/>
        <v>226.3</v>
      </c>
      <c r="AC74" s="1615"/>
      <c r="AD74" s="3273"/>
      <c r="AE74" s="1615">
        <f>+'Exhibit F'!AF69+'Exhibit G'!AG50+'Exhibit H'!AD37+'Exhibit I'!AI42</f>
        <v>188.4</v>
      </c>
      <c r="AF74" s="1615"/>
      <c r="AG74" s="1615"/>
      <c r="AH74" s="1615">
        <f t="shared" si="14"/>
        <v>37.9</v>
      </c>
      <c r="AI74" s="3063"/>
      <c r="AJ74" s="1704">
        <f t="shared" si="15"/>
        <v>0.20100000000000001</v>
      </c>
    </row>
    <row r="75" spans="1:36" ht="16.5" customHeight="1">
      <c r="A75" s="880" t="s">
        <v>939</v>
      </c>
      <c r="B75" s="880"/>
      <c r="C75" s="519">
        <f>+'Exhibit F'!D70+'Exhibit G'!D51+'Exhibit H'!B38</f>
        <v>1</v>
      </c>
      <c r="D75" s="519"/>
      <c r="E75" s="519">
        <f>+'Exhibit F'!F70+'Exhibit G'!F51+'Exhibit H'!D38</f>
        <v>0.30000000000000004</v>
      </c>
      <c r="F75" s="519"/>
      <c r="G75" s="519">
        <f>+'Exhibit F'!H70+'Exhibit G'!H51+'Exhibit H'!F38</f>
        <v>0.8999999999999998</v>
      </c>
      <c r="H75" s="519"/>
      <c r="I75" s="519">
        <f>+'Exhibit F'!J70+'Exhibit G'!J51+'Exhibit H'!H38</f>
        <v>0.30000000000000027</v>
      </c>
      <c r="J75" s="519"/>
      <c r="K75" s="519">
        <f>+'Exhibit F'!L70+'Exhibit G'!L51+'Exhibit H'!J38</f>
        <v>0.49999999999999989</v>
      </c>
      <c r="L75" s="519"/>
      <c r="M75" s="519">
        <f>+'Exhibit F'!N70+'Exhibit G'!N51+'Exhibit H'!L38</f>
        <v>0.30000000000000004</v>
      </c>
      <c r="N75" s="519"/>
      <c r="O75" s="519">
        <f>+'Exhibit F'!P70+'Exhibit G'!P51+'Exhibit H'!N38</f>
        <v>0.39999999999999991</v>
      </c>
      <c r="P75" s="519"/>
      <c r="Q75" s="519">
        <f>+'Exhibit F'!R70+'Exhibit G'!R51+'Exhibit H'!P38</f>
        <v>0.59999999999999987</v>
      </c>
      <c r="R75" s="519"/>
      <c r="S75" s="519">
        <f>+'Exhibit F'!T70+'Exhibit G'!T51+'Exhibit H'!R38</f>
        <v>0</v>
      </c>
      <c r="T75" s="519"/>
      <c r="U75" s="519">
        <f>+'Exhibit F'!V70+'Exhibit G'!V51+'Exhibit H'!T38</f>
        <v>2.0999999999999996</v>
      </c>
      <c r="V75" s="519"/>
      <c r="W75" s="519"/>
      <c r="X75" s="519"/>
      <c r="Y75" s="519"/>
      <c r="Z75" s="519"/>
      <c r="AA75" s="520"/>
      <c r="AB75" s="1615">
        <f t="shared" si="13"/>
        <v>6.4</v>
      </c>
      <c r="AC75" s="1615"/>
      <c r="AD75" s="3273"/>
      <c r="AE75" s="1615">
        <f>+'Exhibit F'!AF70+'Exhibit G'!AG51+'Exhibit H'!AD38</f>
        <v>4.5</v>
      </c>
      <c r="AF75" s="1615"/>
      <c r="AG75" s="1615"/>
      <c r="AH75" s="1615">
        <f t="shared" si="14"/>
        <v>1.9</v>
      </c>
      <c r="AI75" s="3063"/>
      <c r="AJ75" s="1703">
        <f>ROUND(IF(AE75=0,0,AH75/ABS(AE75)),3)</f>
        <v>0.42199999999999999</v>
      </c>
    </row>
    <row r="76" spans="1:36" ht="16.5" customHeight="1">
      <c r="A76" s="880" t="s">
        <v>940</v>
      </c>
      <c r="B76" s="880"/>
      <c r="C76" s="519">
        <f>+'Exhibit F'!D71+'Exhibit G'!D52+'Exhibit I'!E43+'Exhibit H'!B39</f>
        <v>129</v>
      </c>
      <c r="D76" s="519"/>
      <c r="E76" s="519">
        <f>+'Exhibit F'!F71+'Exhibit G'!F52+'Exhibit I'!G43+'Exhibit H'!D39</f>
        <v>112.5</v>
      </c>
      <c r="F76" s="519"/>
      <c r="G76" s="519">
        <f>+'Exhibit F'!H71+'Exhibit G'!H52+'Exhibit I'!I43+'Exhibit H'!F39</f>
        <v>139.80000000000001</v>
      </c>
      <c r="H76" s="519"/>
      <c r="I76" s="519">
        <f>+'Exhibit F'!J71+'Exhibit G'!J52+'Exhibit I'!K43+'Exhibit H'!H39</f>
        <v>103.6</v>
      </c>
      <c r="J76" s="519"/>
      <c r="K76" s="519">
        <f>+'Exhibit F'!L71+'Exhibit G'!L52+'Exhibit I'!M43+'Exhibit H'!J39</f>
        <v>120.59999999999998</v>
      </c>
      <c r="L76" s="519"/>
      <c r="M76" s="519">
        <f>+'Exhibit F'!N71+'Exhibit G'!N52+'Exhibit I'!O43+'Exhibit H'!L39</f>
        <v>131.10000000000002</v>
      </c>
      <c r="N76" s="519"/>
      <c r="O76" s="519">
        <f>+'Exhibit F'!P71+'Exhibit G'!P52+'Exhibit I'!Q43+'Exhibit H'!N39</f>
        <v>87.400000000000034</v>
      </c>
      <c r="P76" s="519"/>
      <c r="Q76" s="519">
        <f>+'Exhibit F'!R71+'Exhibit G'!R52+'Exhibit I'!S43+'Exhibit H'!P39</f>
        <v>77.199999999999946</v>
      </c>
      <c r="R76" s="519"/>
      <c r="S76" s="519">
        <f>+'Exhibit F'!T71+'Exhibit G'!T52+'Exhibit I'!U43+'Exhibit H'!R39</f>
        <v>106.70000000000002</v>
      </c>
      <c r="T76" s="519"/>
      <c r="U76" s="519">
        <f>+'Exhibit F'!V71+'Exhibit G'!V52+'Exhibit I'!W43+'Exhibit H'!T39</f>
        <v>91.299999999999955</v>
      </c>
      <c r="V76" s="519"/>
      <c r="W76" s="519"/>
      <c r="X76" s="519"/>
      <c r="Y76" s="519"/>
      <c r="Z76" s="519"/>
      <c r="AA76" s="520"/>
      <c r="AB76" s="1615">
        <f t="shared" si="13"/>
        <v>1099.2</v>
      </c>
      <c r="AC76" s="1615"/>
      <c r="AD76" s="3273"/>
      <c r="AE76" s="1615">
        <f>+'Exhibit F'!AF71+'Exhibit G'!AG52+'Exhibit I'!AI43+'Exhibit H'!AD39</f>
        <v>1035.1999999999998</v>
      </c>
      <c r="AF76" s="1615"/>
      <c r="AG76" s="1615"/>
      <c r="AH76" s="1615">
        <f t="shared" si="14"/>
        <v>64</v>
      </c>
      <c r="AI76" s="3063"/>
      <c r="AJ76" s="1703">
        <f t="shared" si="15"/>
        <v>6.2E-2</v>
      </c>
    </row>
    <row r="77" spans="1:36" ht="16.5" customHeight="1">
      <c r="A77" s="880" t="s">
        <v>941</v>
      </c>
      <c r="B77" s="880"/>
      <c r="C77" s="519">
        <f>+'Exhibit F'!D72+'Exhibit G'!D53+'Exhibit I'!E44+'Exhibit H'!B40</f>
        <v>68.400000000000006</v>
      </c>
      <c r="D77" s="519"/>
      <c r="E77" s="519">
        <f>+'Exhibit F'!F72+'Exhibit G'!F53+'Exhibit I'!G44+'Exhibit H'!D40</f>
        <v>53.29999999999999</v>
      </c>
      <c r="F77" s="519"/>
      <c r="G77" s="519">
        <f>+'Exhibit F'!H72+'Exhibit G'!H53+'Exhibit I'!I44+'Exhibit H'!F40</f>
        <v>87.500000000000028</v>
      </c>
      <c r="H77" s="519"/>
      <c r="I77" s="519">
        <f>+'Exhibit F'!J72+'Exhibit G'!J53+'Exhibit I'!K44+'Exhibit H'!H40</f>
        <v>58.3</v>
      </c>
      <c r="J77" s="519"/>
      <c r="K77" s="519">
        <f>+'Exhibit F'!L72+'Exhibit G'!L53+'Exhibit I'!M44+'Exhibit H'!J40</f>
        <v>92.999999999999986</v>
      </c>
      <c r="L77" s="519"/>
      <c r="M77" s="519">
        <f>+'Exhibit F'!N72+'Exhibit G'!N53+'Exhibit I'!O44+'Exhibit H'!L40</f>
        <v>155.30000000000001</v>
      </c>
      <c r="N77" s="519"/>
      <c r="O77" s="519">
        <f>+'Exhibit F'!P72+'Exhibit G'!P53+'Exhibit I'!Q44+'Exhibit H'!N40</f>
        <v>79.200000000000088</v>
      </c>
      <c r="P77" s="519"/>
      <c r="Q77" s="519">
        <f>+'Exhibit F'!R72+'Exhibit G'!R53+'Exhibit I'!S44+'Exhibit H'!P40</f>
        <v>130.4999999999998</v>
      </c>
      <c r="R77" s="519"/>
      <c r="S77" s="519">
        <f>+'Exhibit F'!T72+'Exhibit G'!T53+'Exhibit I'!U44+'Exhibit H'!R40</f>
        <v>60.299999999999976</v>
      </c>
      <c r="T77" s="519"/>
      <c r="U77" s="519">
        <f>+'Exhibit F'!V72+'Exhibit G'!V53+'Exhibit I'!W44+'Exhibit H'!T40</f>
        <v>75.100000000000051</v>
      </c>
      <c r="V77" s="519"/>
      <c r="W77" s="519"/>
      <c r="X77" s="519"/>
      <c r="Y77" s="519"/>
      <c r="Z77" s="519"/>
      <c r="AA77" s="520"/>
      <c r="AB77" s="1615">
        <f t="shared" si="13"/>
        <v>860.9</v>
      </c>
      <c r="AC77" s="1615"/>
      <c r="AD77" s="3273"/>
      <c r="AE77" s="1615">
        <f>+'Exhibit F'!AF72+'Exhibit G'!AG53+'Exhibit I'!AI44+'Exhibit H'!AD40</f>
        <v>562.20000000000005</v>
      </c>
      <c r="AF77" s="1615"/>
      <c r="AG77" s="1615"/>
      <c r="AH77" s="1615">
        <f t="shared" si="14"/>
        <v>298.7</v>
      </c>
      <c r="AI77" s="3063"/>
      <c r="AJ77" s="1703">
        <f t="shared" si="15"/>
        <v>0.53100000000000003</v>
      </c>
    </row>
    <row r="78" spans="1:36" ht="16.5" customHeight="1">
      <c r="A78" s="880" t="s">
        <v>930</v>
      </c>
      <c r="B78" s="880"/>
      <c r="C78" s="519">
        <f>+'Exhibit F'!D73+'Exhibit G'!D54+'Exhibit I'!E45</f>
        <v>50.4</v>
      </c>
      <c r="D78" s="519"/>
      <c r="E78" s="519">
        <f>+'Exhibit F'!F73+'Exhibit G'!F54+'Exhibit I'!G45</f>
        <v>42.599999999999994</v>
      </c>
      <c r="F78" s="519"/>
      <c r="G78" s="519">
        <f>+'Exhibit F'!H73+'Exhibit G'!H54+'Exhibit I'!I45</f>
        <v>52.20000000000001</v>
      </c>
      <c r="H78" s="519"/>
      <c r="I78" s="519">
        <f>+'Exhibit F'!J73+'Exhibit G'!J54+'Exhibit I'!K45</f>
        <v>11.899999999999975</v>
      </c>
      <c r="J78" s="519"/>
      <c r="K78" s="519">
        <f>+'Exhibit F'!L73+'Exhibit G'!L54+'Exhibit I'!M45</f>
        <v>26.400000000000002</v>
      </c>
      <c r="L78" s="519"/>
      <c r="M78" s="519">
        <f>+'Exhibit F'!N73+'Exhibit G'!N54+'Exhibit I'!O45</f>
        <v>27.900000000000002</v>
      </c>
      <c r="N78" s="519"/>
      <c r="O78" s="519">
        <f>+'Exhibit F'!P73+'Exhibit G'!P54+'Exhibit I'!Q45</f>
        <v>24.800000000000008</v>
      </c>
      <c r="P78" s="519"/>
      <c r="Q78" s="519">
        <f>+'Exhibit F'!R73+'Exhibit G'!R54+'Exhibit I'!S45</f>
        <v>53.000000000000007</v>
      </c>
      <c r="R78" s="519"/>
      <c r="S78" s="519">
        <f>+'Exhibit F'!T73+'Exhibit G'!T54+'Exhibit I'!U45</f>
        <v>10.399999999999991</v>
      </c>
      <c r="T78" s="519"/>
      <c r="U78" s="519">
        <f>+'Exhibit F'!V73+'Exhibit G'!V54+'Exhibit I'!W45</f>
        <v>76.90000000000002</v>
      </c>
      <c r="V78" s="519"/>
      <c r="W78" s="519"/>
      <c r="X78" s="519"/>
      <c r="Y78" s="519"/>
      <c r="Z78" s="519"/>
      <c r="AA78" s="520"/>
      <c r="AB78" s="1615">
        <f t="shared" si="13"/>
        <v>376.5</v>
      </c>
      <c r="AC78" s="1615"/>
      <c r="AD78" s="3273"/>
      <c r="AE78" s="1615">
        <f>+'Exhibit F'!AF73+'Exhibit G'!AG54+'Exhibit I'!AI45</f>
        <v>863.59999999999991</v>
      </c>
      <c r="AF78" s="1615"/>
      <c r="AG78" s="1615"/>
      <c r="AH78" s="1615">
        <f t="shared" si="14"/>
        <v>-487.1</v>
      </c>
      <c r="AI78" s="3063"/>
      <c r="AJ78" s="1703">
        <f t="shared" si="15"/>
        <v>-0.56399999999999995</v>
      </c>
    </row>
    <row r="79" spans="1:36" ht="16.5" customHeight="1">
      <c r="A79" s="880" t="s">
        <v>1046</v>
      </c>
      <c r="B79" s="880"/>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20"/>
      <c r="AB79" s="1615"/>
      <c r="AC79" s="1615"/>
      <c r="AD79" s="3273"/>
      <c r="AE79" s="1615"/>
      <c r="AF79" s="1615"/>
      <c r="AG79" s="1615"/>
      <c r="AH79" s="1615"/>
      <c r="AI79" s="3063"/>
      <c r="AJ79" s="1703"/>
    </row>
    <row r="80" spans="1:36" ht="16.5" customHeight="1">
      <c r="A80" s="880" t="s">
        <v>942</v>
      </c>
      <c r="B80" s="880"/>
      <c r="C80" s="519">
        <f>+'Exhibit G'!D56</f>
        <v>34.200000000000003</v>
      </c>
      <c r="D80" s="519"/>
      <c r="E80" s="519">
        <f>+'Exhibit G'!F56</f>
        <v>14.199999999999996</v>
      </c>
      <c r="F80" s="519"/>
      <c r="G80" s="519">
        <f>+'Exhibit G'!H56</f>
        <v>17.100000000000001</v>
      </c>
      <c r="H80" s="519"/>
      <c r="I80" s="519">
        <f>+'Exhibit G'!J56</f>
        <v>35.700000000000003</v>
      </c>
      <c r="J80" s="519"/>
      <c r="K80" s="519">
        <f>+'Exhibit G'!L56</f>
        <v>15.199999999999996</v>
      </c>
      <c r="L80" s="519"/>
      <c r="M80" s="519">
        <f>+'Exhibit G'!N56</f>
        <v>19.29999999999999</v>
      </c>
      <c r="N80" s="519"/>
      <c r="O80" s="519">
        <f>+'Exhibit G'!P56</f>
        <v>35.500000000000028</v>
      </c>
      <c r="P80" s="519"/>
      <c r="Q80" s="519">
        <f>+'Exhibit G'!R56</f>
        <v>10.199999999999982</v>
      </c>
      <c r="R80" s="519"/>
      <c r="S80" s="519">
        <f>+'Exhibit G'!T56</f>
        <v>16.900000000000034</v>
      </c>
      <c r="T80" s="519"/>
      <c r="U80" s="519">
        <f>+'Exhibit G'!V56</f>
        <v>29.799999999999962</v>
      </c>
      <c r="V80" s="519"/>
      <c r="W80" s="519"/>
      <c r="X80" s="519"/>
      <c r="Y80" s="519"/>
      <c r="Z80" s="519"/>
      <c r="AA80" s="520"/>
      <c r="AB80" s="1615">
        <f t="shared" ref="AB80:AB85" si="16">ROUND(SUM(C80:Y80),1)</f>
        <v>228.1</v>
      </c>
      <c r="AC80" s="1615"/>
      <c r="AD80" s="3273"/>
      <c r="AE80" s="1615">
        <f>+'Exhibit G'!AG56</f>
        <v>109.5</v>
      </c>
      <c r="AF80" s="1615"/>
      <c r="AG80" s="1615"/>
      <c r="AH80" s="1615">
        <f t="shared" ref="AH80:AH85" si="17">ROUND(SUM(AB80-AE80),1)</f>
        <v>118.6</v>
      </c>
      <c r="AI80" s="3063"/>
      <c r="AJ80" s="1708">
        <f>ROUND(IF(AE80=0,1,AH80/ABS(AE80)),3)</f>
        <v>1.083</v>
      </c>
    </row>
    <row r="81" spans="1:36" ht="16.5" customHeight="1">
      <c r="A81" s="880" t="s">
        <v>1550</v>
      </c>
      <c r="B81" s="880"/>
      <c r="C81" s="519">
        <f>+'Exhibit G'!D57</f>
        <v>199.5</v>
      </c>
      <c r="D81" s="519"/>
      <c r="E81" s="519">
        <f>+'Exhibit G'!F57</f>
        <v>213.5</v>
      </c>
      <c r="F81" s="519"/>
      <c r="G81" s="519">
        <f>+'Exhibit G'!H57</f>
        <v>238.89999999999998</v>
      </c>
      <c r="H81" s="519"/>
      <c r="I81" s="519">
        <f>+'Exhibit G'!J57</f>
        <v>181.89999999999998</v>
      </c>
      <c r="J81" s="519"/>
      <c r="K81" s="519">
        <f>+'Exhibit G'!L57</f>
        <v>186.80000000000007</v>
      </c>
      <c r="L81" s="519"/>
      <c r="M81" s="519">
        <f>+'Exhibit G'!N57</f>
        <v>240.89999999999998</v>
      </c>
      <c r="N81" s="519"/>
      <c r="O81" s="519">
        <f>+'Exhibit G'!P57</f>
        <v>192.40000000000009</v>
      </c>
      <c r="P81" s="519"/>
      <c r="Q81" s="519">
        <f>+'Exhibit G'!R57</f>
        <v>203.2</v>
      </c>
      <c r="R81" s="519"/>
      <c r="S81" s="519">
        <f>+'Exhibit G'!T57</f>
        <v>225.39999999999969</v>
      </c>
      <c r="T81" s="519"/>
      <c r="U81" s="519">
        <f>+'Exhibit G'!V57</f>
        <v>193.99999999999989</v>
      </c>
      <c r="V81" s="519"/>
      <c r="W81" s="519"/>
      <c r="X81" s="519"/>
      <c r="Y81" s="519"/>
      <c r="Z81" s="519"/>
      <c r="AA81" s="520"/>
      <c r="AB81" s="1615">
        <f t="shared" si="16"/>
        <v>2076.5</v>
      </c>
      <c r="AC81" s="1615"/>
      <c r="AD81" s="3273"/>
      <c r="AE81" s="1615">
        <f>+'Exhibit G'!AG57</f>
        <v>1881.7</v>
      </c>
      <c r="AF81" s="1615"/>
      <c r="AG81" s="1615"/>
      <c r="AH81" s="1615">
        <f t="shared" si="17"/>
        <v>194.8</v>
      </c>
      <c r="AI81" s="3063"/>
      <c r="AJ81" s="1708">
        <f>ROUND(IF(AE81=0,0,AH81/ABS(AE81)),3)</f>
        <v>0.104</v>
      </c>
    </row>
    <row r="82" spans="1:36" ht="16.5" customHeight="1">
      <c r="A82" s="2440" t="s">
        <v>1548</v>
      </c>
      <c r="B82" s="880"/>
      <c r="C82" s="519">
        <f>+'Exhibit G'!D58</f>
        <v>0</v>
      </c>
      <c r="D82" s="519"/>
      <c r="E82" s="519">
        <f>+'Exhibit G'!F58</f>
        <v>0</v>
      </c>
      <c r="F82" s="519"/>
      <c r="G82" s="519">
        <f>+'Exhibit G'!H58</f>
        <v>0</v>
      </c>
      <c r="H82" s="519"/>
      <c r="I82" s="519">
        <f>+'Exhibit G'!J58</f>
        <v>0</v>
      </c>
      <c r="J82" s="519"/>
      <c r="K82" s="519">
        <f>+'Exhibit G'!L58</f>
        <v>0</v>
      </c>
      <c r="L82" s="519"/>
      <c r="M82" s="519">
        <f>+'Exhibit G'!N58</f>
        <v>0</v>
      </c>
      <c r="N82" s="519"/>
      <c r="O82" s="519">
        <f>+'Exhibit G'!P58</f>
        <v>0</v>
      </c>
      <c r="P82" s="519"/>
      <c r="Q82" s="519">
        <f>+'Exhibit G'!R58</f>
        <v>150</v>
      </c>
      <c r="R82" s="519"/>
      <c r="S82" s="519">
        <f>+'Exhibit G'!T58</f>
        <v>50</v>
      </c>
      <c r="T82" s="519"/>
      <c r="U82" s="519">
        <f>+'Exhibit G'!V58</f>
        <v>46.599999999999994</v>
      </c>
      <c r="V82" s="519"/>
      <c r="W82" s="519"/>
      <c r="X82" s="519"/>
      <c r="Y82" s="519"/>
      <c r="Z82" s="519"/>
      <c r="AA82" s="520"/>
      <c r="AB82" s="1615">
        <f t="shared" si="16"/>
        <v>246.6</v>
      </c>
      <c r="AC82" s="1615"/>
      <c r="AD82" s="3273"/>
      <c r="AE82" s="1615">
        <f>+'Exhibit G'!AG58</f>
        <v>0</v>
      </c>
      <c r="AF82" s="1615"/>
      <c r="AG82" s="1615"/>
      <c r="AH82" s="1615">
        <f t="shared" si="17"/>
        <v>246.6</v>
      </c>
      <c r="AI82" s="3063"/>
      <c r="AJ82" s="1708">
        <f>ROUND(IF(AE82=0,1,AH82/ABS(AE82)),3)</f>
        <v>1</v>
      </c>
    </row>
    <row r="83" spans="1:36" ht="16.5" customHeight="1">
      <c r="A83" s="880" t="s">
        <v>943</v>
      </c>
      <c r="B83" s="880"/>
      <c r="C83" s="519">
        <f>+'Exhibit G'!D59</f>
        <v>75.900000000000006</v>
      </c>
      <c r="D83" s="519"/>
      <c r="E83" s="519">
        <f>+'Exhibit G'!F59</f>
        <v>77.899999999999977</v>
      </c>
      <c r="F83" s="519"/>
      <c r="G83" s="519">
        <f>+'Exhibit G'!H59</f>
        <v>101.9</v>
      </c>
      <c r="H83" s="519"/>
      <c r="I83" s="519">
        <f>+'Exhibit G'!J59</f>
        <v>82.400000000000063</v>
      </c>
      <c r="J83" s="519"/>
      <c r="K83" s="519">
        <f>+'Exhibit G'!L59</f>
        <v>81.5</v>
      </c>
      <c r="L83" s="519"/>
      <c r="M83" s="519">
        <f>+'Exhibit G'!N59</f>
        <v>99.200000000000074</v>
      </c>
      <c r="N83" s="519"/>
      <c r="O83" s="519">
        <f>+'Exhibit G'!P59</f>
        <v>76.899999999999949</v>
      </c>
      <c r="P83" s="519"/>
      <c r="Q83" s="519">
        <f>+'Exhibit G'!R59</f>
        <v>76.5</v>
      </c>
      <c r="R83" s="519"/>
      <c r="S83" s="519">
        <f>+'Exhibit G'!T59</f>
        <v>87.699999999999932</v>
      </c>
      <c r="T83" s="519"/>
      <c r="U83" s="519">
        <f>+'Exhibit G'!V59</f>
        <v>69.800000000000097</v>
      </c>
      <c r="V83" s="519"/>
      <c r="W83" s="519"/>
      <c r="X83" s="519"/>
      <c r="Y83" s="519"/>
      <c r="Z83" s="519"/>
      <c r="AA83" s="520"/>
      <c r="AB83" s="1615">
        <f t="shared" si="16"/>
        <v>829.7</v>
      </c>
      <c r="AC83" s="1615"/>
      <c r="AD83" s="3273"/>
      <c r="AE83" s="1615">
        <f>+'Exhibit G'!AG59</f>
        <v>264.7</v>
      </c>
      <c r="AF83" s="1615"/>
      <c r="AG83" s="1615"/>
      <c r="AH83" s="1615">
        <f t="shared" si="17"/>
        <v>565</v>
      </c>
      <c r="AI83" s="3063"/>
      <c r="AJ83" s="1708">
        <f>ROUND(IF(AE83=0,1,AH83/ABS(AE83)),3)</f>
        <v>2.1339999999999999</v>
      </c>
    </row>
    <row r="84" spans="1:36" ht="16.5" customHeight="1">
      <c r="A84" s="880" t="s">
        <v>931</v>
      </c>
      <c r="B84" s="880"/>
      <c r="C84" s="519">
        <f>+'Exhibit F'!D74+'Exhibit G'!D60+'Exhibit H'!B41+'Exhibit I'!E46</f>
        <v>5.6</v>
      </c>
      <c r="D84" s="519"/>
      <c r="E84" s="519">
        <f>+'Exhibit F'!F74+'Exhibit G'!F60+'Exhibit H'!D41+'Exhibit I'!G46</f>
        <v>4.4000000000000004</v>
      </c>
      <c r="F84" s="519"/>
      <c r="G84" s="519">
        <f>+'Exhibit F'!H74+'Exhibit G'!H60+'Exhibit H'!F41+'Exhibit I'!I46</f>
        <v>4.3000000000000007</v>
      </c>
      <c r="H84" s="519"/>
      <c r="I84" s="519">
        <f>+'Exhibit F'!J74+'Exhibit G'!J60+'Exhibit H'!H41+'Exhibit I'!K46</f>
        <v>4.4999999999999991</v>
      </c>
      <c r="J84" s="519"/>
      <c r="K84" s="519">
        <f>+'Exhibit F'!L74+'Exhibit G'!L60+'Exhibit H'!J41+'Exhibit I'!M46</f>
        <v>4.6999999999999993</v>
      </c>
      <c r="L84" s="519"/>
      <c r="M84" s="519">
        <f>+'Exhibit F'!N74+'Exhibit G'!N60+'Exhibit H'!L41+'Exhibit I'!O46</f>
        <v>4.1999999999999993</v>
      </c>
      <c r="N84" s="519"/>
      <c r="O84" s="519">
        <f>+'Exhibit F'!P74+'Exhibit G'!P60+'Exhibit H'!N41+'Exhibit I'!Q46</f>
        <v>4.3999999999999986</v>
      </c>
      <c r="P84" s="519"/>
      <c r="Q84" s="519">
        <f>+'Exhibit F'!R74+'Exhibit G'!R60+'Exhibit H'!P41+'Exhibit I'!S46</f>
        <v>5.3000000000000007</v>
      </c>
      <c r="R84" s="519"/>
      <c r="S84" s="519">
        <f>+'Exhibit F'!T74+'Exhibit G'!T60+'Exhibit H'!R41+'Exhibit I'!U46</f>
        <v>4.5000000000000018</v>
      </c>
      <c r="T84" s="519"/>
      <c r="U84" s="519">
        <f>+'Exhibit F'!V74+'Exhibit G'!V60+'Exhibit H'!T41+'Exhibit I'!W46</f>
        <v>6.0999999999999979</v>
      </c>
      <c r="V84" s="519"/>
      <c r="W84" s="519"/>
      <c r="X84" s="519"/>
      <c r="Y84" s="519"/>
      <c r="Z84" s="519"/>
      <c r="AA84" s="520"/>
      <c r="AB84" s="1615">
        <f t="shared" si="16"/>
        <v>48</v>
      </c>
      <c r="AC84" s="1615"/>
      <c r="AD84" s="3273"/>
      <c r="AE84" s="1615">
        <f>+'Exhibit F'!AF74+'Exhibit G'!AG60+'Exhibit H'!AD41+'Exhibit I'!AI46</f>
        <v>102.4</v>
      </c>
      <c r="AF84" s="1615"/>
      <c r="AG84" s="1615"/>
      <c r="AH84" s="1615">
        <f t="shared" si="17"/>
        <v>-54.4</v>
      </c>
      <c r="AI84" s="3063"/>
      <c r="AJ84" s="1708">
        <f>ROUND(IF(AE84=0,0,AH84/ABS(AE84)),3)</f>
        <v>-0.53100000000000003</v>
      </c>
    </row>
    <row r="85" spans="1:36" ht="16.5" customHeight="1">
      <c r="A85" s="880" t="s">
        <v>948</v>
      </c>
      <c r="B85" s="880"/>
      <c r="C85" s="519">
        <f>+'Exhibit F'!D75+'Exhibit G'!D61+'Exhibit H'!B42+'Exhibit I'!E47</f>
        <v>6.7</v>
      </c>
      <c r="D85" s="519"/>
      <c r="E85" s="519">
        <f>+'Exhibit F'!F75+'Exhibit G'!F61+'Exhibit H'!D42+'Exhibit I'!G47</f>
        <v>2.1999999999999993</v>
      </c>
      <c r="F85" s="519"/>
      <c r="G85" s="519">
        <f>+'Exhibit F'!H75+'Exhibit G'!H61+'Exhibit H'!F42+'Exhibit I'!I47</f>
        <v>4.9000000000000004</v>
      </c>
      <c r="H85" s="519"/>
      <c r="I85" s="519">
        <f>+'Exhibit F'!J75+'Exhibit G'!J61+'Exhibit H'!H42+'Exhibit I'!K47</f>
        <v>3.3000000000000012</v>
      </c>
      <c r="J85" s="519"/>
      <c r="K85" s="519">
        <f>+'Exhibit F'!L75+'Exhibit G'!L61+'Exhibit H'!J42+'Exhibit I'!M47</f>
        <v>1.5000000000000022</v>
      </c>
      <c r="L85" s="519"/>
      <c r="M85" s="519">
        <f>+'Exhibit F'!N75+'Exhibit G'!N61+'Exhibit H'!L42+'Exhibit I'!O47</f>
        <v>6.8999999999999977</v>
      </c>
      <c r="N85" s="519"/>
      <c r="O85" s="519">
        <f>+'Exhibit F'!P75+'Exhibit G'!P61+'Exhibit H'!N42+'Exhibit I'!Q47</f>
        <v>3.4000000000000021</v>
      </c>
      <c r="P85" s="519"/>
      <c r="Q85" s="519">
        <f>+'Exhibit F'!R75+'Exhibit G'!R61+'Exhibit H'!P42+'Exhibit I'!S47</f>
        <v>1.4999999999999993</v>
      </c>
      <c r="R85" s="519"/>
      <c r="S85" s="519">
        <f>+'Exhibit F'!T75+'Exhibit G'!T61+'Exhibit H'!R42+'Exhibit I'!U47</f>
        <v>6.0999999999999925</v>
      </c>
      <c r="T85" s="519"/>
      <c r="U85" s="519">
        <f>+'Exhibit F'!V75+'Exhibit G'!V61+'Exhibit H'!T42+'Exhibit I'!W47</f>
        <v>3.5000000000000044</v>
      </c>
      <c r="V85" s="519"/>
      <c r="W85" s="519"/>
      <c r="X85" s="519"/>
      <c r="Y85" s="519"/>
      <c r="Z85" s="519"/>
      <c r="AA85" s="520"/>
      <c r="AB85" s="1615">
        <f t="shared" si="16"/>
        <v>40</v>
      </c>
      <c r="AC85" s="1615"/>
      <c r="AD85" s="3273"/>
      <c r="AE85" s="1615">
        <f>+'Exhibit F'!AF75+'Exhibit G'!AG61+'Exhibit H'!AD42+'Exhibit I'!AI47</f>
        <v>42.400000000000006</v>
      </c>
      <c r="AF85" s="1615"/>
      <c r="AG85" s="1615"/>
      <c r="AH85" s="1615">
        <f t="shared" si="17"/>
        <v>-2.4</v>
      </c>
      <c r="AI85" s="3063"/>
      <c r="AJ85" s="1703">
        <f>ROUND(IF(AE85=0,0,AH85/ABS(AE85)),3)</f>
        <v>-5.7000000000000002E-2</v>
      </c>
    </row>
    <row r="86" spans="1:36" ht="16.5" customHeight="1">
      <c r="A86" s="880" t="s">
        <v>1047</v>
      </c>
      <c r="B86" s="880"/>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20"/>
      <c r="AB86" s="1615"/>
      <c r="AC86" s="1615"/>
      <c r="AD86" s="3273"/>
      <c r="AE86" s="1615"/>
      <c r="AF86" s="1615"/>
      <c r="AG86" s="1615"/>
      <c r="AH86" s="1615"/>
      <c r="AI86" s="3063"/>
      <c r="AJ86" s="1704"/>
    </row>
    <row r="87" spans="1:36" ht="16.5" customHeight="1">
      <c r="A87" s="880" t="s">
        <v>944</v>
      </c>
      <c r="B87" s="880"/>
      <c r="C87" s="519">
        <f>+'Exhibit G'!D63+'Exhibit I'!E49</f>
        <v>78.399999999999991</v>
      </c>
      <c r="D87" s="519"/>
      <c r="E87" s="519">
        <f>+'Exhibit G'!F63+'Exhibit I'!G49</f>
        <v>0.50000000000001421</v>
      </c>
      <c r="F87" s="519"/>
      <c r="G87" s="519">
        <f>+'Exhibit G'!H63+'Exhibit I'!I49</f>
        <v>3</v>
      </c>
      <c r="H87" s="519"/>
      <c r="I87" s="519">
        <f>+'Exhibit G'!J63+'Exhibit I'!K49</f>
        <v>237</v>
      </c>
      <c r="J87" s="519"/>
      <c r="K87" s="519">
        <f>+'Exhibit G'!L63+'Exhibit I'!M49</f>
        <v>27.600000000000023</v>
      </c>
      <c r="L87" s="519"/>
      <c r="M87" s="519">
        <f>+'Exhibit G'!N63+'Exhibit I'!O49</f>
        <v>328.1</v>
      </c>
      <c r="N87" s="519"/>
      <c r="O87" s="519">
        <f>+'Exhibit G'!P63+'Exhibit I'!Q49</f>
        <v>979.1999999999997</v>
      </c>
      <c r="P87" s="519"/>
      <c r="Q87" s="519">
        <f>+'Exhibit G'!R63+'Exhibit I'!S49</f>
        <v>0.6000000000003638</v>
      </c>
      <c r="R87" s="519"/>
      <c r="S87" s="519">
        <f>+'Exhibit G'!T63+'Exhibit I'!U49</f>
        <v>583.00000000000011</v>
      </c>
      <c r="T87" s="519"/>
      <c r="U87" s="519">
        <f>+'Exhibit G'!V63+'Exhibit I'!W49</f>
        <v>117.29999999999973</v>
      </c>
      <c r="V87" s="519"/>
      <c r="W87" s="519"/>
      <c r="X87" s="519"/>
      <c r="Y87" s="519"/>
      <c r="Z87" s="519"/>
      <c r="AA87" s="520"/>
      <c r="AB87" s="1615">
        <f t="shared" si="13"/>
        <v>2354.6999999999998</v>
      </c>
      <c r="AC87" s="1615"/>
      <c r="AD87" s="3273"/>
      <c r="AE87" s="1615">
        <f>+'Exhibit G'!AG63+'Exhibit I'!AI49+'Exhibit H'!AD44+'Exhibit F'!AF77</f>
        <v>8553.6</v>
      </c>
      <c r="AF87" s="1615"/>
      <c r="AG87" s="1615"/>
      <c r="AH87" s="1615">
        <f t="shared" si="14"/>
        <v>-6198.9</v>
      </c>
      <c r="AI87" s="3063"/>
      <c r="AJ87" s="1708">
        <f>ROUND(IF(AE87=0,1,AH87/ABS(AE87)),3)</f>
        <v>-0.72499999999999998</v>
      </c>
    </row>
    <row r="88" spans="1:36" ht="16.5" customHeight="1">
      <c r="A88" s="880" t="s">
        <v>945</v>
      </c>
      <c r="B88" s="880"/>
      <c r="C88" s="519">
        <f>+'Exhibit F'!D78+'Exhibit G'!D64</f>
        <v>0</v>
      </c>
      <c r="D88" s="519"/>
      <c r="E88" s="519">
        <f>+'Exhibit F'!F78+'Exhibit G'!F64</f>
        <v>0</v>
      </c>
      <c r="F88" s="519"/>
      <c r="G88" s="519">
        <f>+'Exhibit F'!H78+'Exhibit G'!H64</f>
        <v>0</v>
      </c>
      <c r="H88" s="519"/>
      <c r="I88" s="519">
        <f>+'Exhibit F'!J78+'Exhibit G'!J64</f>
        <v>5.9</v>
      </c>
      <c r="J88" s="519"/>
      <c r="K88" s="519">
        <f>+'Exhibit F'!L78+'Exhibit G'!L64</f>
        <v>0</v>
      </c>
      <c r="L88" s="519"/>
      <c r="M88" s="519">
        <f>+'Exhibit F'!N78+'Exhibit G'!N64</f>
        <v>0</v>
      </c>
      <c r="N88" s="519"/>
      <c r="O88" s="519">
        <f>+'Exhibit F'!P78+'Exhibit G'!P64</f>
        <v>8.9</v>
      </c>
      <c r="P88" s="519"/>
      <c r="Q88" s="519">
        <f>+'Exhibit F'!R78+'Exhibit G'!R64</f>
        <v>2.6999999999999993</v>
      </c>
      <c r="R88" s="519"/>
      <c r="S88" s="519">
        <f>+'Exhibit F'!T78+'Exhibit G'!T64</f>
        <v>2.8000000000000007</v>
      </c>
      <c r="T88" s="519"/>
      <c r="U88" s="519">
        <f>+'Exhibit F'!V78+'Exhibit G'!V64</f>
        <v>2.7000000000000011</v>
      </c>
      <c r="V88" s="519"/>
      <c r="W88" s="519"/>
      <c r="X88" s="519"/>
      <c r="Y88" s="519"/>
      <c r="Z88" s="519"/>
      <c r="AA88" s="520"/>
      <c r="AB88" s="1615">
        <f t="shared" si="13"/>
        <v>23</v>
      </c>
      <c r="AC88" s="1615"/>
      <c r="AD88" s="3273"/>
      <c r="AE88" s="1615">
        <f>+'Exhibit F'!AF78+'Exhibit G'!AG64</f>
        <v>8.9</v>
      </c>
      <c r="AF88" s="1615"/>
      <c r="AG88" s="1615"/>
      <c r="AH88" s="1615">
        <f t="shared" si="14"/>
        <v>14.1</v>
      </c>
      <c r="AI88" s="3063"/>
      <c r="AJ88" s="1703">
        <f>ROUND(IF(AE88=0,1,AH88/ABS(AE88)),3)</f>
        <v>1.5840000000000001</v>
      </c>
    </row>
    <row r="89" spans="1:36" ht="16.5" customHeight="1">
      <c r="A89" s="880" t="s">
        <v>946</v>
      </c>
      <c r="B89" s="880"/>
      <c r="C89" s="519">
        <f>+'Exhibit F'!D79+'Exhibit G'!D65</f>
        <v>2.7</v>
      </c>
      <c r="D89" s="519"/>
      <c r="E89" s="519">
        <f>+'Exhibit F'!F79+'Exhibit G'!F65</f>
        <v>2.2999999999999998</v>
      </c>
      <c r="F89" s="519"/>
      <c r="G89" s="519">
        <f>+'Exhibit F'!H79+'Exhibit G'!H65</f>
        <v>1.7000000000000002</v>
      </c>
      <c r="H89" s="519"/>
      <c r="I89" s="519">
        <f>+'Exhibit F'!J79+'Exhibit G'!J65</f>
        <v>22</v>
      </c>
      <c r="J89" s="519"/>
      <c r="K89" s="519">
        <f>+'Exhibit F'!L79+'Exhibit G'!L65</f>
        <v>0.60000000000000142</v>
      </c>
      <c r="L89" s="519"/>
      <c r="M89" s="519">
        <f>+'Exhibit F'!N79+'Exhibit G'!N65</f>
        <v>0</v>
      </c>
      <c r="N89" s="519"/>
      <c r="O89" s="519">
        <f>+'Exhibit F'!P79+'Exhibit G'!P65</f>
        <v>18.600000000000001</v>
      </c>
      <c r="P89" s="519"/>
      <c r="Q89" s="519">
        <f>+'Exhibit F'!R79+'Exhibit G'!R65</f>
        <v>1.0999999999999943</v>
      </c>
      <c r="R89" s="519"/>
      <c r="S89" s="519">
        <f>+'Exhibit F'!T79+'Exhibit G'!T65</f>
        <v>25.200000000000003</v>
      </c>
      <c r="T89" s="519"/>
      <c r="U89" s="519">
        <f>+'Exhibit F'!V79+'Exhibit G'!V65</f>
        <v>3.5000000000000071</v>
      </c>
      <c r="V89" s="519"/>
      <c r="W89" s="519"/>
      <c r="X89" s="519"/>
      <c r="Y89" s="519"/>
      <c r="Z89" s="519"/>
      <c r="AA89" s="520"/>
      <c r="AB89" s="1615">
        <f t="shared" si="13"/>
        <v>77.7</v>
      </c>
      <c r="AC89" s="1615"/>
      <c r="AD89" s="3273"/>
      <c r="AE89" s="1615">
        <f>+'Exhibit F'!AF79+'Exhibit G'!AG65</f>
        <v>110.5</v>
      </c>
      <c r="AF89" s="1615"/>
      <c r="AG89" s="1615"/>
      <c r="AH89" s="1615">
        <f t="shared" si="14"/>
        <v>-32.799999999999997</v>
      </c>
      <c r="AI89" s="3063"/>
      <c r="AJ89" s="1708">
        <f t="shared" ref="AJ89:AJ91" si="18">ROUND(IF(AE89=0,0,AH89/ABS(AE89)),3)</f>
        <v>-0.29699999999999999</v>
      </c>
    </row>
    <row r="90" spans="1:36" ht="16.5" customHeight="1">
      <c r="A90" s="880" t="s">
        <v>947</v>
      </c>
      <c r="B90" s="880"/>
      <c r="C90" s="519">
        <f>+'Exhibit F'!D80+'Exhibit G'!D66+'Exhibit I'!E51</f>
        <v>0.7</v>
      </c>
      <c r="D90" s="519"/>
      <c r="E90" s="519">
        <f>+'Exhibit F'!F80+'Exhibit G'!F66+'Exhibit I'!G51</f>
        <v>2.5</v>
      </c>
      <c r="F90" s="519"/>
      <c r="G90" s="519">
        <f>+'Exhibit F'!H80+'Exhibit G'!H66+'Exhibit I'!I51</f>
        <v>0.79999999999999982</v>
      </c>
      <c r="H90" s="519"/>
      <c r="I90" s="519">
        <f>+'Exhibit F'!J80+'Exhibit G'!J66+'Exhibit I'!K51</f>
        <v>4.5999999999999996</v>
      </c>
      <c r="J90" s="519"/>
      <c r="K90" s="519">
        <f>+'Exhibit F'!L80+'Exhibit G'!L66+'Exhibit I'!M51</f>
        <v>0.29999999999999982</v>
      </c>
      <c r="L90" s="519"/>
      <c r="M90" s="519">
        <f>+'Exhibit F'!N80+'Exhibit G'!N66+'Exhibit I'!O51</f>
        <v>4.3000000000000016</v>
      </c>
      <c r="N90" s="519"/>
      <c r="O90" s="519">
        <f>+'Exhibit F'!P80+'Exhibit G'!P66+'Exhibit I'!Q51</f>
        <v>1.7999999999999989</v>
      </c>
      <c r="P90" s="519"/>
      <c r="Q90" s="519">
        <f>+'Exhibit F'!R80+'Exhibit G'!R66+'Exhibit I'!S51</f>
        <v>8.6000000000000032</v>
      </c>
      <c r="R90" s="519"/>
      <c r="S90" s="519">
        <f>+'Exhibit F'!T80+'Exhibit G'!T66+'Exhibit I'!U51</f>
        <v>34.699999999999996</v>
      </c>
      <c r="T90" s="519"/>
      <c r="U90" s="519">
        <f>+'Exhibit F'!V80+'Exhibit G'!V66+'Exhibit I'!W51</f>
        <v>3.5</v>
      </c>
      <c r="V90" s="519"/>
      <c r="W90" s="519"/>
      <c r="X90" s="519"/>
      <c r="Y90" s="519"/>
      <c r="Z90" s="519"/>
      <c r="AA90" s="520"/>
      <c r="AB90" s="1615">
        <f t="shared" si="13"/>
        <v>61.8</v>
      </c>
      <c r="AC90" s="1615"/>
      <c r="AD90" s="3273"/>
      <c r="AE90" s="1615">
        <f>+'Exhibit F'!AF80+'Exhibit G'!AG66+'Exhibit I'!AI51</f>
        <v>63.599999999999994</v>
      </c>
      <c r="AF90" s="1615"/>
      <c r="AG90" s="1615"/>
      <c r="AH90" s="1615">
        <f t="shared" si="14"/>
        <v>-1.8</v>
      </c>
      <c r="AI90" s="3063"/>
      <c r="AJ90" s="1703">
        <f t="shared" si="18"/>
        <v>-2.8000000000000001E-2</v>
      </c>
    </row>
    <row r="91" spans="1:36" ht="16.5" customHeight="1">
      <c r="A91" s="880" t="s">
        <v>949</v>
      </c>
      <c r="B91" s="880"/>
      <c r="C91" s="519">
        <f>+'Exhibit F'!D81+'Exhibit G'!D67+'Exhibit H'!B45+'Exhibit I'!E52</f>
        <v>45.3</v>
      </c>
      <c r="D91" s="519"/>
      <c r="E91" s="519">
        <f>+'Exhibit F'!F81+'Exhibit G'!F67+'Exhibit H'!D45+'Exhibit I'!G52</f>
        <v>2.8000000000000056</v>
      </c>
      <c r="F91" s="519"/>
      <c r="G91" s="519">
        <f>+'Exhibit F'!H81+'Exhibit G'!H67+'Exhibit H'!F45+'Exhibit I'!I52</f>
        <v>10.5</v>
      </c>
      <c r="H91" s="519"/>
      <c r="I91" s="519">
        <f>+'Exhibit F'!J81+'Exhibit G'!J67+'Exhibit H'!H45+'Exhibit I'!K52</f>
        <v>3.799999999999994</v>
      </c>
      <c r="J91" s="519"/>
      <c r="K91" s="519">
        <f>+'Exhibit F'!L81+'Exhibit G'!L67+'Exhibit H'!J45+'Exhibit I'!M52</f>
        <v>17.70000000000001</v>
      </c>
      <c r="L91" s="519"/>
      <c r="M91" s="519">
        <f>+'Exhibit F'!N81+'Exhibit G'!N67+'Exhibit H'!L45+'Exhibit I'!O52</f>
        <v>86.499999999999986</v>
      </c>
      <c r="N91" s="519"/>
      <c r="O91" s="519">
        <f>+'Exhibit F'!P81+'Exhibit G'!P67+'Exhibit H'!N45+'Exhibit I'!Q52</f>
        <v>79.3</v>
      </c>
      <c r="P91" s="519"/>
      <c r="Q91" s="519">
        <f>+'Exhibit F'!R81+'Exhibit G'!R67+'Exhibit H'!P45+'Exhibit I'!S52</f>
        <v>28.300000000000015</v>
      </c>
      <c r="R91" s="519"/>
      <c r="S91" s="519">
        <f>+'Exhibit F'!T81+'Exhibit G'!T67+'Exhibit H'!R45+'Exhibit I'!U52</f>
        <v>24.699999999999996</v>
      </c>
      <c r="T91" s="519"/>
      <c r="U91" s="519">
        <f>+'Exhibit F'!V81+'Exhibit G'!V67+'Exhibit H'!T45+'Exhibit I'!W52</f>
        <v>36.099999999999909</v>
      </c>
      <c r="V91" s="519"/>
      <c r="W91" s="519"/>
      <c r="X91" s="519"/>
      <c r="Y91" s="519"/>
      <c r="Z91" s="519"/>
      <c r="AA91" s="520"/>
      <c r="AB91" s="1615">
        <f t="shared" si="13"/>
        <v>335</v>
      </c>
      <c r="AC91" s="1615"/>
      <c r="AD91" s="3273"/>
      <c r="AE91" s="1615">
        <f>+'Exhibit F'!AF81+'Exhibit G'!AG67+'Exhibit H'!AD45+'Exhibit I'!AI52</f>
        <v>117.2</v>
      </c>
      <c r="AF91" s="1615"/>
      <c r="AG91" s="1615"/>
      <c r="AH91" s="1615">
        <f t="shared" si="14"/>
        <v>217.8</v>
      </c>
      <c r="AI91" s="3063"/>
      <c r="AJ91" s="1708">
        <f t="shared" si="18"/>
        <v>1.8580000000000001</v>
      </c>
    </row>
    <row r="92" spans="1:36" ht="16.5" customHeight="1">
      <c r="A92" s="880" t="s">
        <v>1048</v>
      </c>
      <c r="B92" s="880"/>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20"/>
      <c r="AB92" s="1615"/>
      <c r="AC92" s="1615"/>
      <c r="AD92" s="3273"/>
      <c r="AE92" s="1615"/>
      <c r="AF92" s="1615"/>
      <c r="AG92" s="1615"/>
      <c r="AH92" s="1615"/>
      <c r="AI92" s="3063"/>
      <c r="AJ92" s="1703"/>
    </row>
    <row r="93" spans="1:36" ht="16.5" customHeight="1">
      <c r="A93" s="880" t="s">
        <v>950</v>
      </c>
      <c r="B93" s="880"/>
      <c r="C93" s="519">
        <f>+'Exhibit F'!D83+'Exhibit G'!D69+'Exhibit I'!E54</f>
        <v>45.8</v>
      </c>
      <c r="D93" s="519"/>
      <c r="E93" s="519">
        <f>+'Exhibit F'!F83+'Exhibit G'!F69+'Exhibit I'!G54</f>
        <v>9.1999999999999993</v>
      </c>
      <c r="F93" s="519"/>
      <c r="G93" s="519">
        <f>+'Exhibit F'!H83+'Exhibit G'!H69+'Exhibit I'!I54</f>
        <v>36</v>
      </c>
      <c r="H93" s="519"/>
      <c r="I93" s="519">
        <f>+'Exhibit F'!J83+'Exhibit G'!J69+'Exhibit I'!K54</f>
        <v>8.5999999999999908</v>
      </c>
      <c r="J93" s="519"/>
      <c r="K93" s="519">
        <f>+'Exhibit F'!L83+'Exhibit G'!L69+'Exhibit I'!M54</f>
        <v>9.1000000000000085</v>
      </c>
      <c r="L93" s="519"/>
      <c r="M93" s="519">
        <f>+'Exhibit F'!N83+'Exhibit G'!N69+'Exhibit I'!O54</f>
        <v>23.5</v>
      </c>
      <c r="N93" s="519"/>
      <c r="O93" s="519">
        <f>+'Exhibit F'!P83+'Exhibit G'!P69+'Exhibit I'!Q54</f>
        <v>8.6999999999999957</v>
      </c>
      <c r="P93" s="519"/>
      <c r="Q93" s="519">
        <f>+'Exhibit F'!R83+'Exhibit G'!R69+'Exhibit I'!S54</f>
        <v>8.5000000000000036</v>
      </c>
      <c r="R93" s="519"/>
      <c r="S93" s="519">
        <f>+'Exhibit F'!T83+'Exhibit G'!T69+'Exhibit I'!U54</f>
        <v>61.000000000000014</v>
      </c>
      <c r="T93" s="519"/>
      <c r="U93" s="519">
        <f>+'Exhibit F'!V83+'Exhibit G'!V69+'Exhibit I'!W54</f>
        <v>8.2999999999999687</v>
      </c>
      <c r="V93" s="519"/>
      <c r="W93" s="519"/>
      <c r="X93" s="519"/>
      <c r="Y93" s="519"/>
      <c r="Z93" s="519"/>
      <c r="AA93" s="520"/>
      <c r="AB93" s="1615">
        <f t="shared" si="13"/>
        <v>218.7</v>
      </c>
      <c r="AC93" s="1615"/>
      <c r="AD93" s="3273"/>
      <c r="AE93" s="1615">
        <f>+'Exhibit F'!AF83+'Exhibit G'!AG69+'Exhibit I'!AI54</f>
        <v>167</v>
      </c>
      <c r="AF93" s="1615"/>
      <c r="AG93" s="1615"/>
      <c r="AH93" s="1615">
        <f t="shared" si="14"/>
        <v>51.7</v>
      </c>
      <c r="AI93" s="3063"/>
      <c r="AJ93" s="1708">
        <f>ROUND(IF(AE93=0,0,AH93/ABS(AE93)),3)</f>
        <v>0.31</v>
      </c>
    </row>
    <row r="94" spans="1:36" ht="16.5" customHeight="1">
      <c r="A94" s="880" t="s">
        <v>951</v>
      </c>
      <c r="B94" s="880"/>
      <c r="C94" s="519">
        <f>+'Exhibit G'!D70+'Exhibit F'!D84</f>
        <v>0.9</v>
      </c>
      <c r="D94" s="519"/>
      <c r="E94" s="519">
        <f>+'Exhibit G'!F70+'Exhibit F'!F84</f>
        <v>0.80000000000000138</v>
      </c>
      <c r="F94" s="519"/>
      <c r="G94" s="519">
        <f>+'Exhibit G'!H70+'Exhibit F'!H84</f>
        <v>0.19999999999999568</v>
      </c>
      <c r="H94" s="519"/>
      <c r="I94" s="519">
        <f>+'Exhibit G'!J70+'Exhibit F'!J84</f>
        <v>0.60000000000000009</v>
      </c>
      <c r="J94" s="519"/>
      <c r="K94" s="519">
        <f>+'Exhibit G'!L70+'Exhibit F'!L84</f>
        <v>0.39999999999999147</v>
      </c>
      <c r="L94" s="519"/>
      <c r="M94" s="519">
        <f>+'Exhibit G'!N70+'Exhibit F'!N84</f>
        <v>1.3000000000000342</v>
      </c>
      <c r="N94" s="519"/>
      <c r="O94" s="519">
        <f>+'Exhibit G'!P70+'Exhibit F'!P84</f>
        <v>0.69999999999998863</v>
      </c>
      <c r="P94" s="519"/>
      <c r="Q94" s="519">
        <f>+'Exhibit G'!R70+'Exhibit F'!R84</f>
        <v>0.89999999999997726</v>
      </c>
      <c r="R94" s="519"/>
      <c r="S94" s="519">
        <f>+'Exhibit G'!T70+'Exhibit F'!T84</f>
        <v>14.399999999999977</v>
      </c>
      <c r="T94" s="519"/>
      <c r="U94" s="519">
        <f>+'Exhibit G'!V70+'Exhibit F'!V84</f>
        <v>1.2000000000000184</v>
      </c>
      <c r="V94" s="519"/>
      <c r="W94" s="519"/>
      <c r="X94" s="519"/>
      <c r="Y94" s="519"/>
      <c r="Z94" s="519"/>
      <c r="AA94" s="520"/>
      <c r="AB94" s="1615">
        <f t="shared" si="13"/>
        <v>21.4</v>
      </c>
      <c r="AC94" s="1615"/>
      <c r="AD94" s="3273"/>
      <c r="AE94" s="1615">
        <f>+'Exhibit G'!AG70+'Exhibit F'!AF84</f>
        <v>18.5</v>
      </c>
      <c r="AF94" s="1615"/>
      <c r="AG94" s="1615"/>
      <c r="AH94" s="1615">
        <f t="shared" si="14"/>
        <v>2.9</v>
      </c>
      <c r="AI94" s="3063"/>
      <c r="AJ94" s="1703">
        <f>ROUND(IF(AE94=0,0,AH94/ABS(AE94)),3)</f>
        <v>0.157</v>
      </c>
    </row>
    <row r="95" spans="1:36" ht="16.5" customHeight="1">
      <c r="A95" s="880" t="s">
        <v>1273</v>
      </c>
      <c r="B95" s="880"/>
      <c r="C95" s="519">
        <v>0</v>
      </c>
      <c r="D95" s="519"/>
      <c r="E95" s="519">
        <v>0</v>
      </c>
      <c r="F95" s="519"/>
      <c r="G95" s="519">
        <v>0</v>
      </c>
      <c r="H95" s="519"/>
      <c r="I95" s="519">
        <v>0</v>
      </c>
      <c r="J95" s="519"/>
      <c r="K95" s="519">
        <v>0</v>
      </c>
      <c r="L95" s="519"/>
      <c r="M95" s="519">
        <v>0</v>
      </c>
      <c r="N95" s="519"/>
      <c r="O95" s="519">
        <v>0</v>
      </c>
      <c r="P95" s="519"/>
      <c r="Q95" s="519">
        <v>0</v>
      </c>
      <c r="R95" s="519"/>
      <c r="S95" s="519">
        <f>'Exhibit G'!T71</f>
        <v>178</v>
      </c>
      <c r="T95" s="519"/>
      <c r="U95" s="519">
        <f>'Exhibit G'!V71</f>
        <v>50</v>
      </c>
      <c r="V95" s="519"/>
      <c r="W95" s="519"/>
      <c r="X95" s="519"/>
      <c r="Y95" s="519"/>
      <c r="Z95" s="519"/>
      <c r="AA95" s="949"/>
      <c r="AB95" s="1615">
        <f t="shared" si="13"/>
        <v>228</v>
      </c>
      <c r="AC95" s="1615"/>
      <c r="AD95" s="3273"/>
      <c r="AE95" s="1615">
        <f>'Exhibit G'!AG71</f>
        <v>118</v>
      </c>
      <c r="AF95" s="1615"/>
      <c r="AG95" s="1615"/>
      <c r="AH95" s="1615">
        <f t="shared" ref="AH95" si="19">ROUND(SUM(AB95-AE95),1)</f>
        <v>110</v>
      </c>
      <c r="AI95" s="3063"/>
      <c r="AJ95" s="1703">
        <f>ROUND(IF(AE95=0,0,AH95/ABS(AE95)),3)</f>
        <v>0.93200000000000005</v>
      </c>
    </row>
    <row r="96" spans="1:36" ht="16.5" customHeight="1">
      <c r="A96" s="880" t="s">
        <v>952</v>
      </c>
      <c r="B96" s="880"/>
      <c r="C96" s="519">
        <f>+'Exhibit F'!D85+'Exhibit G'!D72+'Exhibit I'!E55</f>
        <v>2.5</v>
      </c>
      <c r="D96" s="519"/>
      <c r="E96" s="519">
        <f>+'Exhibit F'!F85+'Exhibit G'!F72+'Exhibit I'!G55</f>
        <v>2.1</v>
      </c>
      <c r="F96" s="519"/>
      <c r="G96" s="519">
        <f>+'Exhibit F'!H85+'Exhibit G'!H72+'Exhibit I'!I55</f>
        <v>3.4000000000000004</v>
      </c>
      <c r="H96" s="519"/>
      <c r="I96" s="519">
        <f>+'Exhibit F'!J85+'Exhibit G'!J72+'Exhibit I'!K55</f>
        <v>0.70000000000000018</v>
      </c>
      <c r="J96" s="519"/>
      <c r="K96" s="519">
        <f>+'Exhibit F'!L85+'Exhibit G'!L72+'Exhibit I'!M55</f>
        <v>0.50000000000000022</v>
      </c>
      <c r="L96" s="519"/>
      <c r="M96" s="519">
        <f>+'Exhibit F'!N85+'Exhibit G'!N72+'Exhibit I'!O55</f>
        <v>2.8999999999999995</v>
      </c>
      <c r="N96" s="519"/>
      <c r="O96" s="519">
        <f>+'Exhibit F'!P85+'Exhibit G'!P72+'Exhibit I'!Q55</f>
        <v>5.3999999999999986</v>
      </c>
      <c r="P96" s="519"/>
      <c r="Q96" s="519">
        <f>+'Exhibit F'!R85+'Exhibit G'!R72+'Exhibit I'!S55</f>
        <v>12.9</v>
      </c>
      <c r="R96" s="519"/>
      <c r="S96" s="519">
        <f>+'Exhibit F'!T85+'Exhibit G'!T72+'Exhibit I'!U55</f>
        <v>3.3999999999999977</v>
      </c>
      <c r="T96" s="519"/>
      <c r="U96" s="519">
        <f>+'Exhibit F'!V85+'Exhibit G'!V72+'Exhibit I'!W55</f>
        <v>5.7</v>
      </c>
      <c r="V96" s="519"/>
      <c r="W96" s="519"/>
      <c r="X96" s="519"/>
      <c r="Y96" s="519"/>
      <c r="Z96" s="519"/>
      <c r="AA96" s="520"/>
      <c r="AB96" s="1615">
        <f t="shared" si="13"/>
        <v>39.5</v>
      </c>
      <c r="AC96" s="1615"/>
      <c r="AD96" s="3273"/>
      <c r="AE96" s="1615">
        <f>+'Exhibit F'!AF85+'Exhibit G'!AG72+'Exhibit I'!AI55</f>
        <v>45.7</v>
      </c>
      <c r="AF96" s="1615"/>
      <c r="AG96" s="1615"/>
      <c r="AH96" s="1615">
        <f t="shared" si="14"/>
        <v>-6.2</v>
      </c>
      <c r="AI96" s="3063"/>
      <c r="AJ96" s="1704">
        <f t="shared" ref="AJ96:AJ103" si="20">ROUND(IF(AE96=0,0,AH96/ABS(AE96)),3)</f>
        <v>-0.13600000000000001</v>
      </c>
    </row>
    <row r="97" spans="1:45" ht="16.5" customHeight="1">
      <c r="A97" s="880" t="s">
        <v>953</v>
      </c>
      <c r="B97" s="880"/>
      <c r="C97" s="519">
        <f>+'Exhibit F'!D86+'Exhibit G'!D73+'Exhibit I'!E56</f>
        <v>4.9000000000000004</v>
      </c>
      <c r="D97" s="519"/>
      <c r="E97" s="519">
        <f>+'Exhibit F'!F86+'Exhibit G'!F73+'Exhibit I'!G56</f>
        <v>5.6999999999999993</v>
      </c>
      <c r="F97" s="519"/>
      <c r="G97" s="519">
        <f>+'Exhibit F'!H86+'Exhibit G'!H73+'Exhibit I'!I56</f>
        <v>6.3000000000000025</v>
      </c>
      <c r="H97" s="519"/>
      <c r="I97" s="519">
        <f>+'Exhibit F'!J86+'Exhibit G'!J73+'Exhibit I'!K56</f>
        <v>4.9999999999999982</v>
      </c>
      <c r="J97" s="519"/>
      <c r="K97" s="519">
        <f>+'Exhibit F'!L86+'Exhibit G'!L73+'Exhibit I'!M56</f>
        <v>6</v>
      </c>
      <c r="L97" s="519"/>
      <c r="M97" s="519">
        <f>+'Exhibit F'!N86+'Exhibit G'!N73+'Exhibit I'!O56</f>
        <v>20.3</v>
      </c>
      <c r="N97" s="519"/>
      <c r="O97" s="519">
        <f>+'Exhibit F'!P86+'Exhibit G'!P73+'Exhibit I'!Q56</f>
        <v>10.400000000000002</v>
      </c>
      <c r="P97" s="519"/>
      <c r="Q97" s="519">
        <f>+'Exhibit F'!R86+'Exhibit G'!R73+'Exhibit I'!S56</f>
        <v>31.300000000000004</v>
      </c>
      <c r="R97" s="519"/>
      <c r="S97" s="519">
        <f>+'Exhibit F'!T86+'Exhibit G'!T73+'Exhibit I'!U56</f>
        <v>13.2</v>
      </c>
      <c r="T97" s="519"/>
      <c r="U97" s="519">
        <f>+'Exhibit F'!V86+'Exhibit G'!V73+'Exhibit I'!W56</f>
        <v>14.700000000000008</v>
      </c>
      <c r="V97" s="519"/>
      <c r="W97" s="519"/>
      <c r="X97" s="519"/>
      <c r="Y97" s="519"/>
      <c r="Z97" s="519"/>
      <c r="AA97" s="520"/>
      <c r="AB97" s="1615">
        <f>ROUND(SUM(C97:Y97),1)</f>
        <v>117.8</v>
      </c>
      <c r="AC97" s="1615"/>
      <c r="AD97" s="3273"/>
      <c r="AE97" s="1615">
        <f>+'Exhibit F'!AF86+'Exhibit G'!AG73+'Exhibit I'!AI56</f>
        <v>61.5</v>
      </c>
      <c r="AF97" s="1615"/>
      <c r="AG97" s="1615"/>
      <c r="AH97" s="1615">
        <f t="shared" si="14"/>
        <v>56.3</v>
      </c>
      <c r="AI97" s="3063"/>
      <c r="AJ97" s="1704">
        <f t="shared" si="20"/>
        <v>0.91500000000000004</v>
      </c>
    </row>
    <row r="98" spans="1:45" ht="16.5" customHeight="1">
      <c r="A98" s="880" t="s">
        <v>954</v>
      </c>
      <c r="B98" s="880"/>
      <c r="C98" s="519">
        <f>+'Exhibit F'!D87+'Exhibit G'!D74+'Exhibit H'!B47</f>
        <v>295.79999999999995</v>
      </c>
      <c r="D98" s="519"/>
      <c r="E98" s="519">
        <f>+'Exhibit F'!F87+'Exhibit G'!F74+'Exhibit H'!D47</f>
        <v>223.60000000000002</v>
      </c>
      <c r="F98" s="519"/>
      <c r="G98" s="519">
        <f>+'Exhibit F'!H87+'Exhibit G'!H74+'Exhibit H'!F47</f>
        <v>214.50000000000006</v>
      </c>
      <c r="H98" s="519"/>
      <c r="I98" s="519">
        <f>+'Exhibit F'!J87+'Exhibit G'!J74+'Exhibit H'!H47</f>
        <v>293.29999999999995</v>
      </c>
      <c r="J98" s="519"/>
      <c r="K98" s="519">
        <f>+'Exhibit F'!L87+'Exhibit G'!L74+'Exhibit H'!J47</f>
        <v>205.89999999999998</v>
      </c>
      <c r="L98" s="519"/>
      <c r="M98" s="519">
        <f>+'Exhibit F'!N87+'Exhibit G'!N74+'Exhibit H'!L47</f>
        <v>251.39999999999998</v>
      </c>
      <c r="N98" s="519"/>
      <c r="O98" s="519">
        <f>+'Exhibit F'!P87+'Exhibit G'!P74+'Exhibit H'!N47</f>
        <v>210.20000000000007</v>
      </c>
      <c r="P98" s="519"/>
      <c r="Q98" s="519">
        <f>+'Exhibit F'!R87+'Exhibit G'!R74+'Exhibit H'!P47</f>
        <v>278.69999999999982</v>
      </c>
      <c r="R98" s="519"/>
      <c r="S98" s="519">
        <f>+'Exhibit F'!T87+'Exhibit G'!T74+'Exhibit H'!R47</f>
        <v>233.60000000000025</v>
      </c>
      <c r="T98" s="519"/>
      <c r="U98" s="519">
        <f>+'Exhibit F'!V87+'Exhibit G'!V74+'Exhibit H'!T47</f>
        <v>223.99999999999989</v>
      </c>
      <c r="V98" s="519"/>
      <c r="W98" s="519"/>
      <c r="X98" s="519"/>
      <c r="Y98" s="519"/>
      <c r="Z98" s="519"/>
      <c r="AA98" s="520"/>
      <c r="AB98" s="1615">
        <f t="shared" si="13"/>
        <v>2431</v>
      </c>
      <c r="AC98" s="1615"/>
      <c r="AD98" s="3273"/>
      <c r="AE98" s="1615">
        <f>+'Exhibit F'!AF87+'Exhibit G'!AG74+'Exhibit H'!AD47</f>
        <v>2836.2000000000003</v>
      </c>
      <c r="AF98" s="1615"/>
      <c r="AG98" s="1615"/>
      <c r="AH98" s="1615">
        <f t="shared" si="14"/>
        <v>-405.2</v>
      </c>
      <c r="AI98" s="3063"/>
      <c r="AJ98" s="1704">
        <f t="shared" si="20"/>
        <v>-0.14299999999999999</v>
      </c>
    </row>
    <row r="99" spans="1:45" ht="16.5" customHeight="1">
      <c r="A99" s="880" t="s">
        <v>955</v>
      </c>
      <c r="B99" s="880"/>
      <c r="C99" s="519">
        <f>+'Exhibit G'!D75+'Exhibit F'!D88+'Exhibit I'!E57</f>
        <v>11.3</v>
      </c>
      <c r="D99" s="519"/>
      <c r="E99" s="519">
        <f>+'Exhibit G'!F75+'Exhibit F'!F88+'Exhibit I'!G57</f>
        <v>9.5</v>
      </c>
      <c r="F99" s="519"/>
      <c r="G99" s="519">
        <f>+'Exhibit G'!H75+'Exhibit F'!H88+'Exhibit I'!I57</f>
        <v>13.799999999999999</v>
      </c>
      <c r="H99" s="519"/>
      <c r="I99" s="519">
        <f>+'Exhibit G'!J75+'Exhibit F'!J88+'Exhibit I'!K57</f>
        <v>12</v>
      </c>
      <c r="J99" s="519"/>
      <c r="K99" s="519">
        <f>+'Exhibit G'!L75+'Exhibit F'!L88+'Exhibit I'!M57</f>
        <v>10.199999999999998</v>
      </c>
      <c r="L99" s="519"/>
      <c r="M99" s="519">
        <f>+'Exhibit G'!N75+'Exhibit F'!N88+'Exhibit I'!O57</f>
        <v>14.5</v>
      </c>
      <c r="N99" s="519"/>
      <c r="O99" s="519">
        <f>+'Exhibit G'!P75+'Exhibit F'!P88+'Exhibit I'!Q57</f>
        <v>15.4</v>
      </c>
      <c r="P99" s="519"/>
      <c r="Q99" s="519">
        <f>+'Exhibit G'!R75+'Exhibit F'!R88+'Exhibit I'!S57</f>
        <v>9.3000000000000043</v>
      </c>
      <c r="R99" s="519"/>
      <c r="S99" s="519">
        <f>+'Exhibit G'!T75+'Exhibit F'!T88+'Exhibit I'!U57</f>
        <v>11.299999999999994</v>
      </c>
      <c r="T99" s="519"/>
      <c r="U99" s="519">
        <f>+'Exhibit G'!V75+'Exhibit F'!V88+'Exhibit I'!W57</f>
        <v>13.699999999999998</v>
      </c>
      <c r="V99" s="519"/>
      <c r="W99" s="519"/>
      <c r="X99" s="519"/>
      <c r="Y99" s="519"/>
      <c r="Z99" s="519"/>
      <c r="AA99" s="520"/>
      <c r="AB99" s="1615">
        <f t="shared" si="13"/>
        <v>121</v>
      </c>
      <c r="AC99" s="1615"/>
      <c r="AD99" s="3273"/>
      <c r="AE99" s="1615">
        <f>+'Exhibit G'!AG75+'Exhibit F'!AF88+'Exhibit I'!AI57</f>
        <v>126.60000000000001</v>
      </c>
      <c r="AF99" s="1615"/>
      <c r="AG99" s="1615"/>
      <c r="AH99" s="1615">
        <f t="shared" si="14"/>
        <v>-5.6</v>
      </c>
      <c r="AI99" s="3063"/>
      <c r="AJ99" s="1704">
        <f t="shared" si="20"/>
        <v>-4.3999999999999997E-2</v>
      </c>
    </row>
    <row r="100" spans="1:45" ht="16.5" customHeight="1">
      <c r="A100" s="880" t="s">
        <v>956</v>
      </c>
      <c r="B100" s="880"/>
      <c r="C100" s="519">
        <f>+'Exhibit F'!D89+'Exhibit G'!D76+'Exhibit I'!E58</f>
        <v>1.5</v>
      </c>
      <c r="D100" s="519"/>
      <c r="E100" s="519">
        <f>+'Exhibit F'!F89+'Exhibit G'!F76+'Exhibit I'!G58</f>
        <v>11.100000000000001</v>
      </c>
      <c r="F100" s="519"/>
      <c r="G100" s="519">
        <f>+'Exhibit F'!H89+'Exhibit G'!H76+'Exhibit I'!I58</f>
        <v>9</v>
      </c>
      <c r="H100" s="519"/>
      <c r="I100" s="519">
        <f>+'Exhibit F'!J89+'Exhibit G'!J76+'Exhibit I'!K58</f>
        <v>6.5</v>
      </c>
      <c r="J100" s="519"/>
      <c r="K100" s="519">
        <f>+'Exhibit F'!L89+'Exhibit G'!L76+'Exhibit I'!M58</f>
        <v>2.799999999999998</v>
      </c>
      <c r="L100" s="519"/>
      <c r="M100" s="519">
        <f>+'Exhibit F'!N89+'Exhibit G'!N76+'Exhibit I'!O58</f>
        <v>8.0000000000000036</v>
      </c>
      <c r="N100" s="519"/>
      <c r="O100" s="519">
        <f>+'Exhibit F'!P89+'Exhibit G'!P76+'Exhibit I'!Q58</f>
        <v>18.29999999999999</v>
      </c>
      <c r="P100" s="519"/>
      <c r="Q100" s="519">
        <f>+'Exhibit F'!R89+'Exhibit G'!R76+'Exhibit I'!S58</f>
        <v>10.000000000000002</v>
      </c>
      <c r="R100" s="519"/>
      <c r="S100" s="519">
        <f>+'Exhibit F'!T89+'Exhibit G'!T76+'Exhibit I'!U58</f>
        <v>1.4999999999999993</v>
      </c>
      <c r="T100" s="519"/>
      <c r="U100" s="519">
        <f>+'Exhibit F'!V89+'Exhibit G'!V76+'Exhibit I'!W58</f>
        <v>5.899999999999995</v>
      </c>
      <c r="V100" s="519"/>
      <c r="W100" s="519"/>
      <c r="X100" s="519"/>
      <c r="Y100" s="519"/>
      <c r="Z100" s="519"/>
      <c r="AA100" s="520"/>
      <c r="AB100" s="1615">
        <f t="shared" si="13"/>
        <v>74.599999999999994</v>
      </c>
      <c r="AC100" s="1615"/>
      <c r="AD100" s="3273"/>
      <c r="AE100" s="1615">
        <f>+'Exhibit F'!AF89+'Exhibit G'!AG76+'Exhibit I'!AI58</f>
        <v>86</v>
      </c>
      <c r="AF100" s="1615"/>
      <c r="AG100" s="1615"/>
      <c r="AH100" s="1615">
        <f t="shared" si="14"/>
        <v>-11.4</v>
      </c>
      <c r="AI100" s="3063"/>
      <c r="AJ100" s="3269">
        <f t="shared" si="20"/>
        <v>-0.13300000000000001</v>
      </c>
    </row>
    <row r="101" spans="1:45" ht="16.5" customHeight="1">
      <c r="A101" s="880" t="s">
        <v>957</v>
      </c>
      <c r="B101" s="880"/>
      <c r="C101" s="519">
        <f>+'Exhibit F'!D90+'Exhibit G'!D77</f>
        <v>2.4</v>
      </c>
      <c r="D101" s="519"/>
      <c r="E101" s="519">
        <f>+'Exhibit F'!F90+'Exhibit G'!F77</f>
        <v>5.6</v>
      </c>
      <c r="F101" s="519"/>
      <c r="G101" s="519">
        <f>+'Exhibit F'!H90+'Exhibit G'!H77</f>
        <v>1.3000000000000007</v>
      </c>
      <c r="H101" s="519"/>
      <c r="I101" s="519">
        <f>+'Exhibit F'!J90+'Exhibit G'!J77</f>
        <v>1.8999999999999986</v>
      </c>
      <c r="J101" s="519"/>
      <c r="K101" s="519">
        <f>+'Exhibit F'!L90+'Exhibit G'!L77</f>
        <v>1.4000000000000004</v>
      </c>
      <c r="L101" s="519"/>
      <c r="M101" s="519">
        <f>+'Exhibit F'!N90+'Exhibit G'!N77</f>
        <v>1.2000000000000011</v>
      </c>
      <c r="N101" s="519"/>
      <c r="O101" s="519">
        <f>+'Exhibit F'!P90+'Exhibit G'!P77</f>
        <v>1.0999999999999996</v>
      </c>
      <c r="P101" s="519"/>
      <c r="Q101" s="519">
        <f>+'Exhibit F'!R90+'Exhibit G'!R77</f>
        <v>5</v>
      </c>
      <c r="R101" s="519"/>
      <c r="S101" s="519">
        <f>+'Exhibit F'!T90+'Exhibit G'!T77</f>
        <v>1.5</v>
      </c>
      <c r="T101" s="519"/>
      <c r="U101" s="519">
        <f>+'Exhibit F'!V90+'Exhibit G'!V77</f>
        <v>-0.59999999999999787</v>
      </c>
      <c r="V101" s="519"/>
      <c r="W101" s="519"/>
      <c r="X101" s="519"/>
      <c r="Y101" s="519"/>
      <c r="Z101" s="519"/>
      <c r="AA101" s="520"/>
      <c r="AB101" s="1615">
        <f t="shared" si="13"/>
        <v>20.8</v>
      </c>
      <c r="AC101" s="1615"/>
      <c r="AD101" s="3273"/>
      <c r="AE101" s="1615">
        <f>+'Exhibit F'!AF90+'Exhibit G'!AG77</f>
        <v>44.3</v>
      </c>
      <c r="AF101" s="1615"/>
      <c r="AG101" s="1615"/>
      <c r="AH101" s="1615">
        <f t="shared" si="14"/>
        <v>-23.5</v>
      </c>
      <c r="AI101" s="3063"/>
      <c r="AJ101" s="1704">
        <f t="shared" si="20"/>
        <v>-0.53</v>
      </c>
    </row>
    <row r="102" spans="1:45" ht="16.5" customHeight="1">
      <c r="A102" s="880" t="s">
        <v>958</v>
      </c>
      <c r="B102" s="880"/>
      <c r="C102" s="519">
        <f>+'Exhibit F'!D91+'Exhibit G'!D78+'Exhibit I'!E59+'Exhibit H'!B48</f>
        <v>87.300000000000011</v>
      </c>
      <c r="D102" s="519"/>
      <c r="E102" s="519">
        <f>+'Exhibit F'!F91+'Exhibit G'!F78+'Exhibit I'!G59+'Exhibit H'!D48</f>
        <v>63.600000000000009</v>
      </c>
      <c r="F102" s="519"/>
      <c r="G102" s="519">
        <f>+'Exhibit F'!H91+'Exhibit G'!H78+'Exhibit I'!I59+'Exhibit H'!F48</f>
        <v>71.799999999999983</v>
      </c>
      <c r="H102" s="519"/>
      <c r="I102" s="519">
        <f>+'Exhibit F'!J91+'Exhibit G'!J78+'Exhibit I'!K59+'Exhibit H'!H48</f>
        <v>71.400000000000006</v>
      </c>
      <c r="J102" s="519"/>
      <c r="K102" s="519">
        <f>+'Exhibit F'!L91+'Exhibit G'!L78+'Exhibit I'!M59+'Exhibit H'!J48</f>
        <v>82.899999999999977</v>
      </c>
      <c r="L102" s="519"/>
      <c r="M102" s="519">
        <f>+'Exhibit F'!N91+'Exhibit G'!N78+'Exhibit I'!O59+'Exhibit H'!L48</f>
        <v>37.700000000000045</v>
      </c>
      <c r="N102" s="519"/>
      <c r="O102" s="519">
        <f>+'Exhibit F'!P91+'Exhibit G'!P78+'Exhibit I'!Q59+'Exhibit H'!N48</f>
        <v>74.499999999999986</v>
      </c>
      <c r="P102" s="519"/>
      <c r="Q102" s="519">
        <f>+'Exhibit F'!R91+'Exhibit G'!R78+'Exhibit I'!S59+'Exhibit H'!P48</f>
        <v>30.700000000000035</v>
      </c>
      <c r="R102" s="519"/>
      <c r="S102" s="519">
        <f>+'Exhibit F'!T91+'Exhibit G'!T78+'Exhibit I'!U59+'Exhibit H'!R48</f>
        <v>70.699999999999989</v>
      </c>
      <c r="T102" s="519"/>
      <c r="U102" s="519">
        <f>+'Exhibit F'!V91+'Exhibit G'!V78+'Exhibit I'!W59+'Exhibit H'!T48</f>
        <v>126.29999999999998</v>
      </c>
      <c r="V102" s="519"/>
      <c r="W102" s="519"/>
      <c r="X102" s="519"/>
      <c r="Y102" s="519"/>
      <c r="Z102" s="519"/>
      <c r="AA102" s="520"/>
      <c r="AB102" s="1615">
        <f t="shared" si="13"/>
        <v>716.9</v>
      </c>
      <c r="AC102" s="1615"/>
      <c r="AD102" s="3273"/>
      <c r="AE102" s="1615">
        <f>+'Exhibit F'!AF91+'Exhibit G'!AG78+'Exhibit I'!AI59+'Exhibit H'!AD48</f>
        <v>419.49999999999994</v>
      </c>
      <c r="AF102" s="1615"/>
      <c r="AG102" s="1615"/>
      <c r="AH102" s="1615">
        <f t="shared" si="14"/>
        <v>297.39999999999998</v>
      </c>
      <c r="AI102" s="3063"/>
      <c r="AJ102" s="3269">
        <f t="shared" si="20"/>
        <v>0.70899999999999996</v>
      </c>
    </row>
    <row r="103" spans="1:45" ht="16.5" customHeight="1">
      <c r="A103" s="880" t="s">
        <v>959</v>
      </c>
      <c r="B103" s="880"/>
      <c r="C103" s="519">
        <f>+'Exhibit F'!D92+'Exhibit G'!D79+'Exhibit I'!E60+'Exhibit H'!B49</f>
        <v>2.4000000000000004</v>
      </c>
      <c r="D103" s="519"/>
      <c r="E103" s="519">
        <f>+'Exhibit F'!F92+'Exhibit G'!F79+'Exhibit I'!G60+'Exhibit H'!D49</f>
        <v>0.5</v>
      </c>
      <c r="F103" s="519"/>
      <c r="G103" s="519">
        <f>+'Exhibit F'!H92+'Exhibit G'!H79+'Exhibit I'!I60+'Exhibit H'!F49</f>
        <v>1.7000000000000002</v>
      </c>
      <c r="H103" s="519"/>
      <c r="I103" s="519">
        <f>+'Exhibit F'!J92+'Exhibit G'!J79+'Exhibit I'!K60+'Exhibit H'!H49</f>
        <v>1.2999999999999994</v>
      </c>
      <c r="J103" s="519"/>
      <c r="K103" s="519">
        <f>+'Exhibit F'!L92+'Exhibit G'!L79+'Exhibit I'!M60+'Exhibit H'!J49</f>
        <v>1.0000000000000004</v>
      </c>
      <c r="L103" s="519"/>
      <c r="M103" s="519">
        <f>+'Exhibit F'!N92+'Exhibit G'!N79+'Exhibit I'!O60+'Exhibit H'!L49</f>
        <v>3.1</v>
      </c>
      <c r="N103" s="519"/>
      <c r="O103" s="519">
        <f>+'Exhibit F'!P92+'Exhibit G'!P79+'Exhibit I'!Q60+'Exhibit H'!N49</f>
        <v>14.800000000000002</v>
      </c>
      <c r="P103" s="519"/>
      <c r="Q103" s="519">
        <f>+'Exhibit F'!R92+'Exhibit G'!R79+'Exhibit I'!S60+'Exhibit H'!P49</f>
        <v>2</v>
      </c>
      <c r="R103" s="519"/>
      <c r="S103" s="519">
        <f>+'Exhibit F'!T92+'Exhibit G'!T79+'Exhibit I'!U60+'Exhibit H'!R49</f>
        <v>1.3000000000000007</v>
      </c>
      <c r="T103" s="519"/>
      <c r="U103" s="519">
        <f>+'Exhibit F'!V92+'Exhibit G'!V79+'Exhibit I'!W60+'Exhibit H'!T49</f>
        <v>0.59999999999999787</v>
      </c>
      <c r="V103" s="519"/>
      <c r="W103" s="519"/>
      <c r="X103" s="519"/>
      <c r="Y103" s="519"/>
      <c r="Z103" s="519"/>
      <c r="AA103" s="520"/>
      <c r="AB103" s="1615">
        <f t="shared" si="13"/>
        <v>28.7</v>
      </c>
      <c r="AC103" s="1615"/>
      <c r="AD103" s="3273"/>
      <c r="AE103" s="1615">
        <f>+'Exhibit F'!AF92+'Exhibit G'!AG79+'Exhibit I'!AI60+'Exhibit H'!AD49</f>
        <v>12.4</v>
      </c>
      <c r="AF103" s="1615"/>
      <c r="AG103" s="1615"/>
      <c r="AH103" s="1615">
        <f t="shared" si="14"/>
        <v>16.3</v>
      </c>
      <c r="AI103" s="3063"/>
      <c r="AJ103" s="1704">
        <f t="shared" si="20"/>
        <v>1.3149999999999999</v>
      </c>
    </row>
    <row r="104" spans="1:45" ht="16.5" customHeight="1">
      <c r="A104" s="880" t="s">
        <v>960</v>
      </c>
      <c r="B104" s="880"/>
      <c r="C104" s="519">
        <f>+'Exhibit G'!D80</f>
        <v>-75.7</v>
      </c>
      <c r="D104" s="519"/>
      <c r="E104" s="519">
        <f>+'Exhibit G'!F80</f>
        <v>41.6</v>
      </c>
      <c r="F104" s="519"/>
      <c r="G104" s="519">
        <f>+'Exhibit G'!H80</f>
        <v>51.300000000000004</v>
      </c>
      <c r="H104" s="519"/>
      <c r="I104" s="519">
        <f>+'Exhibit G'!J80</f>
        <v>56.6</v>
      </c>
      <c r="J104" s="519"/>
      <c r="K104" s="519">
        <f>+'Exhibit G'!L80</f>
        <v>203.99999999999997</v>
      </c>
      <c r="L104" s="519"/>
      <c r="M104" s="519">
        <f>+'Exhibit G'!N80</f>
        <v>243.30000000000004</v>
      </c>
      <c r="N104" s="519"/>
      <c r="O104" s="519">
        <f>+'Exhibit G'!P80</f>
        <v>125.10000000000005</v>
      </c>
      <c r="P104" s="519"/>
      <c r="Q104" s="519">
        <f>+'Exhibit G'!R80</f>
        <v>31.299999999999955</v>
      </c>
      <c r="R104" s="519"/>
      <c r="S104" s="519">
        <f>+'Exhibit G'!T80</f>
        <v>2.7000000000000455</v>
      </c>
      <c r="T104" s="519"/>
      <c r="U104" s="519">
        <f>+'Exhibit G'!V80</f>
        <v>182.29999999999993</v>
      </c>
      <c r="V104" s="519"/>
      <c r="W104" s="519"/>
      <c r="X104" s="519"/>
      <c r="Y104" s="519"/>
      <c r="Z104" s="519"/>
      <c r="AA104" s="520"/>
      <c r="AB104" s="1615">
        <f t="shared" si="13"/>
        <v>862.5</v>
      </c>
      <c r="AC104" s="1615"/>
      <c r="AD104" s="3273"/>
      <c r="AE104" s="1615">
        <f>+'Exhibit G'!AG80</f>
        <v>903</v>
      </c>
      <c r="AF104" s="1615"/>
      <c r="AG104" s="1615"/>
      <c r="AH104" s="1615">
        <f t="shared" si="14"/>
        <v>-40.5</v>
      </c>
      <c r="AI104" s="3063"/>
      <c r="AJ104" s="1704">
        <f>ROUND(IF(AE104=0,0,AH104/ABS(AE104)),3)</f>
        <v>-4.4999999999999998E-2</v>
      </c>
    </row>
    <row r="105" spans="1:45" s="425" customFormat="1" ht="16.5" customHeight="1">
      <c r="A105" s="307" t="s">
        <v>993</v>
      </c>
      <c r="B105" s="206"/>
      <c r="C105" s="255">
        <f>ROUND(SUM(C63:C104),1)</f>
        <v>1729.5</v>
      </c>
      <c r="D105" s="1057"/>
      <c r="E105" s="255">
        <f>ROUND(SUM(E63:E104),1)</f>
        <v>1568.7</v>
      </c>
      <c r="F105" s="1057"/>
      <c r="G105" s="255">
        <f>ROUND(SUM(G63:G104),1)</f>
        <v>1870.7</v>
      </c>
      <c r="H105" s="910"/>
      <c r="I105" s="255">
        <f>ROUND(SUM(I63:I104),1)</f>
        <v>1923.3</v>
      </c>
      <c r="J105" s="910"/>
      <c r="K105" s="255">
        <f>ROUND(SUM(K63:K104),1)</f>
        <v>1784.3</v>
      </c>
      <c r="L105" s="910"/>
      <c r="M105" s="255">
        <f>ROUND(SUM(M63:M104),1)</f>
        <v>2618.1999999999998</v>
      </c>
      <c r="N105" s="910"/>
      <c r="O105" s="2036">
        <f>ROUND(SUM(O63:O104),1)</f>
        <v>2778</v>
      </c>
      <c r="P105" s="910"/>
      <c r="Q105" s="2036">
        <f>ROUND(SUM(Q63:Q104),1)</f>
        <v>2024.5</v>
      </c>
      <c r="R105" s="910"/>
      <c r="S105" s="255">
        <f>ROUND(SUM(S63:S104),1)</f>
        <v>2743.5</v>
      </c>
      <c r="T105" s="910"/>
      <c r="U105" s="255">
        <f>ROUND(SUM(U63:U104),1)</f>
        <v>2054.1999999999998</v>
      </c>
      <c r="V105" s="910"/>
      <c r="W105" s="255">
        <f>ROUND(SUM(W63:W104),1)</f>
        <v>0</v>
      </c>
      <c r="X105" s="204"/>
      <c r="Y105" s="255">
        <f>ROUND(SUM(Y63:Y104),1)</f>
        <v>0</v>
      </c>
      <c r="Z105" s="204"/>
      <c r="AA105" s="256"/>
      <c r="AB105" s="1519">
        <f>ROUND(SUM(AB63:AB104),1)</f>
        <v>21094.9</v>
      </c>
      <c r="AC105" s="109"/>
      <c r="AD105" s="669"/>
      <c r="AE105" s="1519">
        <f>ROUND(SUM(AE63:AE104),1)</f>
        <v>25732.7</v>
      </c>
      <c r="AF105" s="112"/>
      <c r="AG105" s="3275"/>
      <c r="AH105" s="1519">
        <f>ROUND(SUM(AH63:AH104),1)</f>
        <v>-4637.8</v>
      </c>
      <c r="AI105" s="112"/>
      <c r="AJ105" s="3270">
        <f>ROUND(IF(AE105=0,0,AH105/ABS(AE105)),3)</f>
        <v>-0.18</v>
      </c>
      <c r="AK105" s="3263"/>
      <c r="AL105" s="211"/>
    </row>
    <row r="106" spans="1:45" s="425" customFormat="1" ht="16.5" customHeight="1">
      <c r="A106" s="511"/>
      <c r="B106" s="511"/>
      <c r="C106" s="523"/>
      <c r="D106" s="523"/>
      <c r="E106" s="523"/>
      <c r="F106" s="523"/>
      <c r="G106" s="523"/>
      <c r="H106" s="523"/>
      <c r="I106" s="523"/>
      <c r="J106" s="523"/>
      <c r="K106" s="523"/>
      <c r="L106" s="523"/>
      <c r="M106" s="523"/>
      <c r="N106" s="523"/>
      <c r="O106" s="3071"/>
      <c r="P106" s="523"/>
      <c r="Q106" s="3071"/>
      <c r="R106" s="523"/>
      <c r="S106" s="523"/>
      <c r="T106" s="523"/>
      <c r="U106" s="523"/>
      <c r="V106" s="523"/>
      <c r="W106" s="523"/>
      <c r="X106" s="523"/>
      <c r="Y106" s="523"/>
      <c r="Z106" s="523"/>
      <c r="AA106" s="524"/>
      <c r="AB106" s="3071"/>
      <c r="AC106" s="3072"/>
      <c r="AD106" s="3276"/>
      <c r="AE106" s="3071"/>
      <c r="AF106" s="3072"/>
      <c r="AG106" s="3071"/>
      <c r="AH106" s="3071"/>
      <c r="AI106" s="3064"/>
      <c r="AJ106" s="3262"/>
      <c r="AK106" s="3263"/>
      <c r="AL106" s="211"/>
    </row>
    <row r="107" spans="1:45" ht="16.5" customHeight="1">
      <c r="A107" s="222" t="s">
        <v>20</v>
      </c>
      <c r="B107" s="222"/>
      <c r="C107" s="521">
        <f>+'Exhibit F'!D95+'Exhibit G'!D83+'Exhibit H'!B52+'Exhibit I'!E63</f>
        <v>7164.2</v>
      </c>
      <c r="D107" s="519"/>
      <c r="E107" s="521">
        <f>+'Exhibit F'!F95+'Exhibit G'!F83+'Exhibit H'!D52+'Exhibit I'!G63</f>
        <v>18246.2</v>
      </c>
      <c r="F107" s="519"/>
      <c r="G107" s="521">
        <f>+'Exhibit F'!H95+'Exhibit G'!H83+'Exhibit H'!F52+'Exhibit I'!I63</f>
        <v>7485.1</v>
      </c>
      <c r="H107" s="519"/>
      <c r="I107" s="521">
        <f>+'Exhibit F'!J95+'Exhibit G'!J83+'Exhibit H'!H52+'Exhibit I'!K63</f>
        <v>5880.4999999999973</v>
      </c>
      <c r="J107" s="519"/>
      <c r="K107" s="521">
        <f>+'Exhibit F'!L95+'Exhibit G'!L83+'Exhibit H'!J52+'Exhibit I'!M63</f>
        <v>5986.7</v>
      </c>
      <c r="L107" s="519"/>
      <c r="M107" s="521">
        <f>+'Exhibit F'!N95+'Exhibit G'!N83+'Exhibit H'!L52+'Exhibit I'!O63</f>
        <v>7537.699999999998</v>
      </c>
      <c r="N107" s="519"/>
      <c r="O107" s="521">
        <f>+'Exhibit F'!P95+'Exhibit G'!P83+'Exhibit H'!N52+'Exhibit I'!Q63</f>
        <v>7202.7999999999984</v>
      </c>
      <c r="P107" s="519"/>
      <c r="Q107" s="521">
        <f>+'Exhibit F'!R95+'Exhibit G'!R83+'Exhibit H'!P52+'Exhibit I'!S63</f>
        <v>6009.7</v>
      </c>
      <c r="R107" s="519"/>
      <c r="S107" s="521">
        <f>+'Exhibit F'!T95+'Exhibit G'!T83+'Exhibit H'!R52+'Exhibit I'!U63</f>
        <v>10405.700000000017</v>
      </c>
      <c r="T107" s="519"/>
      <c r="U107" s="521">
        <f>+'Exhibit F'!V95+'Exhibit G'!V83+'Exhibit H'!T52+'Exhibit I'!W63</f>
        <v>5735.6</v>
      </c>
      <c r="V107" s="519"/>
      <c r="W107" s="521"/>
      <c r="X107" s="519"/>
      <c r="Y107" s="521"/>
      <c r="Z107" s="519"/>
      <c r="AA107" s="520"/>
      <c r="AB107" s="3073">
        <f>ROUND(SUM(C107:Y107),1)</f>
        <v>81654.2</v>
      </c>
      <c r="AC107" s="1615"/>
      <c r="AD107" s="3273"/>
      <c r="AE107" s="3770">
        <f>+'Exhibit F'!AF95+'Exhibit G'!AG83+'Exhibit H'!AD52+'Exhibit I'!AI63</f>
        <v>68074.699999999983</v>
      </c>
      <c r="AF107" s="2146"/>
      <c r="AG107" s="1615"/>
      <c r="AH107" s="3073">
        <f>ROUND(SUM(AB107-AE107),1)</f>
        <v>13579.5</v>
      </c>
      <c r="AI107" s="3063"/>
      <c r="AJ107" s="3277">
        <f>ROUND(IF(AE107=0,0,AH107/ABS(AE107)),3)</f>
        <v>0.19900000000000001</v>
      </c>
    </row>
    <row r="108" spans="1:45" ht="16.5" customHeight="1">
      <c r="A108" s="222"/>
      <c r="B108" s="222"/>
      <c r="C108" s="519"/>
      <c r="D108" s="519"/>
      <c r="E108" s="519"/>
      <c r="F108" s="519"/>
      <c r="G108" s="519"/>
      <c r="H108" s="519"/>
      <c r="I108" s="519"/>
      <c r="J108" s="519"/>
      <c r="K108" s="519"/>
      <c r="L108" s="519"/>
      <c r="M108" s="519"/>
      <c r="N108" s="519"/>
      <c r="O108" s="1615"/>
      <c r="P108" s="519"/>
      <c r="Q108" s="1615"/>
      <c r="R108" s="519"/>
      <c r="S108" s="519"/>
      <c r="T108" s="519"/>
      <c r="U108" s="519"/>
      <c r="V108" s="519"/>
      <c r="W108" s="519"/>
      <c r="X108" s="519"/>
      <c r="Y108" s="519"/>
      <c r="Z108" s="519"/>
      <c r="AA108" s="520"/>
      <c r="AB108" s="1615"/>
      <c r="AC108" s="1615"/>
      <c r="AD108" s="3273"/>
      <c r="AE108" s="1615"/>
      <c r="AF108" s="2146"/>
      <c r="AG108" s="1615"/>
      <c r="AH108" s="1615"/>
      <c r="AI108" s="3063"/>
      <c r="AJ108" s="3278"/>
    </row>
    <row r="109" spans="1:45" ht="16.5" customHeight="1">
      <c r="A109" s="26" t="s">
        <v>149</v>
      </c>
      <c r="B109" s="27"/>
      <c r="C109" s="817">
        <f>ROUND(SUM(C107+C105+C59),1)</f>
        <v>18085.7</v>
      </c>
      <c r="D109" s="910"/>
      <c r="E109" s="817">
        <f>ROUND(SUM(E107+E105+E59),1)</f>
        <v>31522.5</v>
      </c>
      <c r="F109" s="910"/>
      <c r="G109" s="817">
        <f>ROUND(SUM(G107+G105+G59),1)</f>
        <v>19337.400000000001</v>
      </c>
      <c r="H109" s="910"/>
      <c r="I109" s="817">
        <f>ROUND(SUM(I107+I105+I59),1)</f>
        <v>13361.7</v>
      </c>
      <c r="J109" s="910"/>
      <c r="K109" s="817">
        <f>ROUND(SUM(K107+K105+K59),1)</f>
        <v>13509.7</v>
      </c>
      <c r="L109" s="910"/>
      <c r="M109" s="817">
        <f>ROUND(SUM(M107+M105+M59),1)</f>
        <v>20922.7</v>
      </c>
      <c r="N109" s="910"/>
      <c r="O109" s="1095">
        <f>ROUND(SUM(O107+O105+O59),1)</f>
        <v>15419.2</v>
      </c>
      <c r="P109" s="910"/>
      <c r="Q109" s="1095">
        <f>ROUND(SUM(Q107+Q105+Q59),1)</f>
        <v>13450.3</v>
      </c>
      <c r="R109" s="910"/>
      <c r="S109" s="817">
        <f>ROUND(SUM(S107+S105+S59),1)</f>
        <v>33753.599999999999</v>
      </c>
      <c r="T109" s="910"/>
      <c r="U109" s="817">
        <f>ROUND(SUM(U107+U105+U59),1)</f>
        <v>21392.7</v>
      </c>
      <c r="V109" s="910"/>
      <c r="W109" s="817">
        <f>ROUND(SUM(W107+W105+W59),1)</f>
        <v>0</v>
      </c>
      <c r="X109" s="204"/>
      <c r="Y109" s="817">
        <f>ROUND(SUM(Y107+Y105+Y59),1)</f>
        <v>0</v>
      </c>
      <c r="Z109" s="250"/>
      <c r="AA109" s="251"/>
      <c r="AB109" s="1095">
        <f>ROUND(SUM(AB107+AB105+AB59),1)</f>
        <v>200755.5</v>
      </c>
      <c r="AC109" s="109"/>
      <c r="AD109" s="669"/>
      <c r="AE109" s="1095">
        <f>ROUND(SUM(AE107+AE105+AE59),1)</f>
        <v>161830.9</v>
      </c>
      <c r="AF109" s="112"/>
      <c r="AG109" s="3275"/>
      <c r="AH109" s="1095">
        <f>ROUND(SUM(AH107+AH105+AH59),1)</f>
        <v>38924.6</v>
      </c>
      <c r="AI109" s="112"/>
      <c r="AJ109" s="3272">
        <f>ROUND(IF(AE109=0,0,AH109/ABS(AE109)),3)</f>
        <v>0.24099999999999999</v>
      </c>
      <c r="AK109" s="3263"/>
      <c r="AM109" s="425"/>
      <c r="AN109" s="425"/>
      <c r="AO109" s="425"/>
      <c r="AP109" s="425"/>
      <c r="AQ109" s="425"/>
      <c r="AR109" s="425"/>
      <c r="AS109" s="425"/>
    </row>
    <row r="110" spans="1:45" ht="16.5" customHeight="1">
      <c r="A110" s="204"/>
      <c r="B110" s="222"/>
      <c r="C110" s="525"/>
      <c r="D110" s="519"/>
      <c r="E110" s="525"/>
      <c r="F110" s="519"/>
      <c r="G110" s="525"/>
      <c r="H110" s="519"/>
      <c r="I110" s="525"/>
      <c r="J110" s="519"/>
      <c r="K110" s="525"/>
      <c r="L110" s="519"/>
      <c r="M110" s="525"/>
      <c r="N110" s="519"/>
      <c r="O110" s="3074"/>
      <c r="P110" s="519"/>
      <c r="Q110" s="3074"/>
      <c r="R110" s="519"/>
      <c r="S110" s="525"/>
      <c r="T110" s="519"/>
      <c r="U110" s="525"/>
      <c r="V110" s="519"/>
      <c r="W110" s="525"/>
      <c r="X110" s="519"/>
      <c r="Y110" s="525"/>
      <c r="Z110" s="519"/>
      <c r="AA110" s="520"/>
      <c r="AB110" s="3074"/>
      <c r="AC110" s="1615"/>
      <c r="AD110" s="3273"/>
      <c r="AE110" s="3074"/>
      <c r="AF110" s="1615"/>
      <c r="AG110" s="1615"/>
      <c r="AH110" s="883"/>
      <c r="AI110" s="3063"/>
      <c r="AJ110" s="879"/>
    </row>
    <row r="111" spans="1:45" ht="16.5" customHeight="1">
      <c r="A111" s="204" t="s">
        <v>22</v>
      </c>
      <c r="B111" s="222"/>
      <c r="C111" s="526"/>
      <c r="D111" s="519"/>
      <c r="E111" s="526"/>
      <c r="F111" s="519"/>
      <c r="G111" s="526"/>
      <c r="H111" s="519"/>
      <c r="I111" s="526"/>
      <c r="J111" s="519"/>
      <c r="K111" s="526"/>
      <c r="L111" s="519"/>
      <c r="M111" s="526"/>
      <c r="N111" s="519"/>
      <c r="O111" s="2146"/>
      <c r="P111" s="519"/>
      <c r="Q111" s="2146"/>
      <c r="R111" s="519"/>
      <c r="S111" s="526"/>
      <c r="T111" s="519"/>
      <c r="U111" s="526"/>
      <c r="V111" s="519"/>
      <c r="W111" s="526"/>
      <c r="X111" s="519"/>
      <c r="Y111" s="526"/>
      <c r="Z111" s="519"/>
      <c r="AA111" s="520"/>
      <c r="AB111" s="2146"/>
      <c r="AC111" s="1615"/>
      <c r="AD111" s="3273"/>
      <c r="AE111" s="2146"/>
      <c r="AF111" s="1615"/>
      <c r="AG111" s="1615"/>
      <c r="AH111" s="883"/>
      <c r="AI111" s="3063"/>
      <c r="AJ111" s="879"/>
    </row>
    <row r="112" spans="1:45" ht="16.5" customHeight="1">
      <c r="A112" s="222" t="s">
        <v>136</v>
      </c>
      <c r="B112" s="222"/>
      <c r="C112" s="519"/>
      <c r="D112" s="519"/>
      <c r="E112" s="519"/>
      <c r="F112" s="519"/>
      <c r="G112" s="519"/>
      <c r="H112" s="519"/>
      <c r="I112" s="519"/>
      <c r="J112" s="519"/>
      <c r="K112" s="519"/>
      <c r="L112" s="519"/>
      <c r="M112" s="519"/>
      <c r="N112" s="519"/>
      <c r="O112" s="1615"/>
      <c r="P112" s="519"/>
      <c r="Q112" s="1615"/>
      <c r="R112" s="519"/>
      <c r="S112" s="519"/>
      <c r="T112" s="519"/>
      <c r="U112" s="519"/>
      <c r="V112" s="519"/>
      <c r="W112" s="519"/>
      <c r="X112" s="519"/>
      <c r="Y112" s="519"/>
      <c r="Z112" s="519"/>
      <c r="AA112" s="520"/>
      <c r="AB112" s="1615"/>
      <c r="AC112" s="1615"/>
      <c r="AD112" s="3273"/>
      <c r="AE112" s="115"/>
      <c r="AF112" s="1615"/>
      <c r="AG112" s="1615"/>
      <c r="AH112" s="1615"/>
      <c r="AI112" s="3063"/>
      <c r="AJ112" s="3274"/>
    </row>
    <row r="113" spans="1:37" ht="16.5" customHeight="1">
      <c r="A113" s="253" t="s">
        <v>24</v>
      </c>
      <c r="B113" s="222"/>
      <c r="C113" s="519">
        <f>+'Exhibit F'!D101+'Exhibit G'!D89+'Exhibit I'!E69</f>
        <v>810.59999999999991</v>
      </c>
      <c r="D113" s="519"/>
      <c r="E113" s="519">
        <f>+'Exhibit F'!F101+'Exhibit G'!F89+'Exhibit I'!G69</f>
        <v>4402.4000000000005</v>
      </c>
      <c r="F113" s="519"/>
      <c r="G113" s="519">
        <f>+'Exhibit F'!H101+'Exhibit G'!H89+'Exhibit I'!I69</f>
        <v>4076.2</v>
      </c>
      <c r="H113" s="519"/>
      <c r="I113" s="519">
        <f>+'Exhibit F'!J101+'Exhibit G'!J89+'Exhibit I'!K69</f>
        <v>1902.4999999999995</v>
      </c>
      <c r="J113" s="519"/>
      <c r="K113" s="519">
        <f>+'Exhibit F'!L101+'Exhibit G'!L89+'Exhibit I'!M69</f>
        <v>1418.299999999999</v>
      </c>
      <c r="L113" s="519"/>
      <c r="M113" s="519">
        <f>+'Exhibit F'!N101+'Exhibit G'!N89+'Exhibit I'!O69</f>
        <v>4369.7000000000016</v>
      </c>
      <c r="N113" s="519"/>
      <c r="O113" s="519">
        <f>+'Exhibit F'!P101+'Exhibit G'!P89+'Exhibit I'!Q69</f>
        <v>2215.6999999999989</v>
      </c>
      <c r="P113" s="519"/>
      <c r="Q113" s="519">
        <f>+'Exhibit F'!R101+'Exhibit G'!R89+'Exhibit I'!S69</f>
        <v>2181.4999999999991</v>
      </c>
      <c r="R113" s="519"/>
      <c r="S113" s="519">
        <f>+'Exhibit F'!T101+'Exhibit G'!T89+'Exhibit I'!U69</f>
        <v>3762.0999999999985</v>
      </c>
      <c r="T113" s="519"/>
      <c r="U113" s="519">
        <f>+'Exhibit F'!V101+'Exhibit G'!V89+'Exhibit I'!W69</f>
        <v>3429.1000000000013</v>
      </c>
      <c r="V113" s="519"/>
      <c r="W113" s="519"/>
      <c r="X113" s="519"/>
      <c r="Y113" s="519"/>
      <c r="Z113" s="519"/>
      <c r="AA113" s="520"/>
      <c r="AB113" s="115">
        <f>ROUND(SUM(C113:Y113),1)</f>
        <v>28568.1</v>
      </c>
      <c r="AC113" s="1615"/>
      <c r="AD113" s="3273"/>
      <c r="AE113" s="115">
        <f>+'Exhibit F'!AF101+'Exhibit G'!AG89+'Exhibit I'!AI69</f>
        <v>24068.500000000004</v>
      </c>
      <c r="AF113" s="1615"/>
      <c r="AG113" s="1615"/>
      <c r="AH113" s="1615">
        <f>ROUND(SUM(AB113-AE113),1)</f>
        <v>4499.6000000000004</v>
      </c>
      <c r="AI113" s="3063"/>
      <c r="AJ113" s="1704">
        <f>ROUND(IF(AE113=0,0,AH113/ABS(AE113)),3)</f>
        <v>0.187</v>
      </c>
    </row>
    <row r="114" spans="1:37" ht="16.5" customHeight="1">
      <c r="A114" s="253" t="s">
        <v>25</v>
      </c>
      <c r="B114" s="222"/>
      <c r="C114" s="519">
        <f>+'Exhibit F'!D102+'Exhibit G'!D90+'Exhibit I'!E70</f>
        <v>29.4</v>
      </c>
      <c r="D114" s="519"/>
      <c r="E114" s="519">
        <f>+'Exhibit F'!F102+'Exhibit G'!F90+'Exhibit I'!G70</f>
        <v>9.6000000000000014</v>
      </c>
      <c r="F114" s="519"/>
      <c r="G114" s="519">
        <f>+'Exhibit F'!H102+'Exhibit G'!H90+'Exhibit I'!I70</f>
        <v>19.799999999999997</v>
      </c>
      <c r="H114" s="519"/>
      <c r="I114" s="519">
        <f>+'Exhibit F'!J102+'Exhibit G'!J90+'Exhibit I'!K70</f>
        <v>15.999999999999996</v>
      </c>
      <c r="J114" s="519"/>
      <c r="K114" s="519">
        <f>+'Exhibit F'!L102+'Exhibit G'!L90+'Exhibit I'!M70</f>
        <v>32.699999999999996</v>
      </c>
      <c r="L114" s="519"/>
      <c r="M114" s="519">
        <f>+'Exhibit F'!N102+'Exhibit G'!N90+'Exhibit I'!O70</f>
        <v>15.800000000000015</v>
      </c>
      <c r="N114" s="519"/>
      <c r="O114" s="519">
        <f>+'Exhibit F'!P102+'Exhibit G'!P90+'Exhibit I'!Q70</f>
        <v>16.000000000000014</v>
      </c>
      <c r="P114" s="519"/>
      <c r="Q114" s="519">
        <f>+'Exhibit F'!R102+'Exhibit G'!R90+'Exhibit I'!S70</f>
        <v>11.7</v>
      </c>
      <c r="R114" s="519"/>
      <c r="S114" s="519">
        <f>+'Exhibit F'!T102+'Exhibit G'!T90+'Exhibit I'!U70</f>
        <v>139.29999999999998</v>
      </c>
      <c r="T114" s="519"/>
      <c r="U114" s="519">
        <f>+'Exhibit F'!V102+'Exhibit G'!V90+'Exhibit I'!W70</f>
        <v>12.300000000000004</v>
      </c>
      <c r="V114" s="519"/>
      <c r="W114" s="519"/>
      <c r="X114" s="519"/>
      <c r="Y114" s="519"/>
      <c r="Z114" s="519"/>
      <c r="AA114" s="520"/>
      <c r="AB114" s="115">
        <f t="shared" ref="AB114:AB121" si="21">ROUND(SUM(C114:Y114),1)</f>
        <v>302.60000000000002</v>
      </c>
      <c r="AC114" s="1615"/>
      <c r="AD114" s="3273"/>
      <c r="AE114" s="115">
        <f>+'Exhibit F'!AF102+'Exhibit G'!AG90+'Exhibit I'!AI70</f>
        <v>146.4</v>
      </c>
      <c r="AF114" s="1615"/>
      <c r="AG114" s="1615"/>
      <c r="AH114" s="1615">
        <f t="shared" ref="AH114:AH121" si="22">ROUND(SUM(AB114-AE114),1)</f>
        <v>156.19999999999999</v>
      </c>
      <c r="AI114" s="3063"/>
      <c r="AJ114" s="1704">
        <f>ROUND(IF(AE114=0,0,AH114/ABS(AE114)),3)</f>
        <v>1.0669999999999999</v>
      </c>
    </row>
    <row r="115" spans="1:37" ht="16.5" customHeight="1">
      <c r="A115" s="253" t="s">
        <v>26</v>
      </c>
      <c r="B115" s="222"/>
      <c r="C115" s="519">
        <f>+'Exhibit F'!D103+'Exhibit G'!D91+'Exhibit I'!E71</f>
        <v>36.899999999999991</v>
      </c>
      <c r="D115" s="519"/>
      <c r="E115" s="519">
        <f>+'Exhibit F'!F103+'Exhibit G'!F91+'Exhibit I'!G71</f>
        <v>130.19999999999999</v>
      </c>
      <c r="F115" s="519"/>
      <c r="G115" s="519">
        <f>+'Exhibit F'!H103+'Exhibit G'!H91+'Exhibit I'!I71</f>
        <v>504.4</v>
      </c>
      <c r="H115" s="519"/>
      <c r="I115" s="519">
        <f>+'Exhibit F'!J103+'Exhibit G'!J91+'Exhibit I'!K71</f>
        <v>440.40000000000003</v>
      </c>
      <c r="J115" s="519"/>
      <c r="K115" s="519">
        <f>+'Exhibit F'!L103+'Exhibit G'!L91+'Exhibit I'!M71</f>
        <v>100.8</v>
      </c>
      <c r="L115" s="519"/>
      <c r="M115" s="519">
        <f>+'Exhibit F'!N103+'Exhibit G'!N91+'Exhibit I'!O71</f>
        <v>195.3</v>
      </c>
      <c r="N115" s="519"/>
      <c r="O115" s="519">
        <f>+'Exhibit F'!P103+'Exhibit G'!P91+'Exhibit I'!Q71</f>
        <v>66.300000000000054</v>
      </c>
      <c r="P115" s="519"/>
      <c r="Q115" s="519">
        <f>+'Exhibit F'!R103+'Exhibit G'!R91+'Exhibit I'!S71</f>
        <v>97.300000000000125</v>
      </c>
      <c r="R115" s="519"/>
      <c r="S115" s="519">
        <f>+'Exhibit F'!T103+'Exhibit G'!T91+'Exhibit I'!U71</f>
        <v>398.59999999999974</v>
      </c>
      <c r="T115" s="519"/>
      <c r="U115" s="519">
        <f>+'Exhibit F'!V103+'Exhibit G'!V91+'Exhibit I'!W71</f>
        <v>59.800000000000118</v>
      </c>
      <c r="V115" s="519"/>
      <c r="W115" s="519"/>
      <c r="X115" s="519"/>
      <c r="Y115" s="519"/>
      <c r="Z115" s="519"/>
      <c r="AA115" s="520"/>
      <c r="AB115" s="115">
        <f t="shared" si="21"/>
        <v>2030</v>
      </c>
      <c r="AC115" s="1615"/>
      <c r="AD115" s="3273"/>
      <c r="AE115" s="115">
        <f>+'Exhibit F'!AF103+'Exhibit G'!AG91+'Exhibit I'!AI71</f>
        <v>5632.4</v>
      </c>
      <c r="AF115" s="1615"/>
      <c r="AG115" s="1615"/>
      <c r="AH115" s="1615">
        <f t="shared" si="22"/>
        <v>-3602.4</v>
      </c>
      <c r="AI115" s="3063"/>
      <c r="AJ115" s="1704">
        <f>ROUND(IF(AE115=0,0,AH115/ABS(AE115)),3)</f>
        <v>-0.64</v>
      </c>
    </row>
    <row r="116" spans="1:37" ht="16.5" customHeight="1">
      <c r="A116" s="253" t="s">
        <v>27</v>
      </c>
      <c r="B116" s="222"/>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115"/>
      <c r="AC116" s="1615"/>
      <c r="AD116" s="3273"/>
      <c r="AE116" s="354"/>
      <c r="AF116" s="1615"/>
      <c r="AG116" s="1615"/>
      <c r="AH116" s="1615" t="s">
        <v>14</v>
      </c>
      <c r="AI116" s="3063"/>
      <c r="AJ116" s="3274"/>
    </row>
    <row r="117" spans="1:37" ht="16.5" customHeight="1">
      <c r="A117" s="254" t="s">
        <v>28</v>
      </c>
      <c r="B117" s="222"/>
      <c r="C117" s="519">
        <f>+'Exhibit F'!D105+'Exhibit G'!D93+'Exhibit I'!E73</f>
        <v>6499.1</v>
      </c>
      <c r="D117" s="519"/>
      <c r="E117" s="519">
        <f>+'Exhibit F'!F105+'Exhibit G'!F93+'Exhibit I'!G73</f>
        <v>5695.0999999999995</v>
      </c>
      <c r="F117" s="519"/>
      <c r="G117" s="519">
        <f>+'Exhibit F'!H105+'Exhibit G'!H93+'Exhibit I'!I73</f>
        <v>6549.9000000000005</v>
      </c>
      <c r="H117" s="519"/>
      <c r="I117" s="519">
        <f>+'Exhibit F'!J105+'Exhibit G'!J93+'Exhibit I'!K73</f>
        <v>4699.0999999999985</v>
      </c>
      <c r="J117" s="519"/>
      <c r="K117" s="519">
        <f>+'Exhibit F'!L105+'Exhibit G'!L93+'Exhibit I'!M73</f>
        <v>5876.2000000000016</v>
      </c>
      <c r="L117" s="519"/>
      <c r="M117" s="519">
        <f>+'Exhibit F'!N105+'Exhibit G'!N93+'Exhibit I'!O73</f>
        <v>5505.4</v>
      </c>
      <c r="N117" s="519"/>
      <c r="O117" s="519">
        <f>+'Exhibit F'!P105+'Exhibit G'!P93+'Exhibit I'!Q73</f>
        <v>6538.7</v>
      </c>
      <c r="P117" s="519"/>
      <c r="Q117" s="519">
        <f>+'Exhibit F'!R105+'Exhibit G'!R93+'Exhibit I'!S73</f>
        <v>5868.9000000000024</v>
      </c>
      <c r="R117" s="519"/>
      <c r="S117" s="519">
        <f>+'Exhibit F'!T105+'Exhibit G'!T93+'Exhibit I'!U73</f>
        <v>6885.8999999999951</v>
      </c>
      <c r="T117" s="519"/>
      <c r="U117" s="519">
        <f>+'Exhibit F'!V105+'Exhibit G'!V93+'Exhibit I'!W73</f>
        <v>5547.1000000000031</v>
      </c>
      <c r="V117" s="519"/>
      <c r="W117" s="519"/>
      <c r="X117" s="519"/>
      <c r="Y117" s="519"/>
      <c r="Z117" s="519"/>
      <c r="AA117" s="520"/>
      <c r="AB117" s="115">
        <f t="shared" si="21"/>
        <v>59665.4</v>
      </c>
      <c r="AC117" s="1615"/>
      <c r="AD117" s="3273"/>
      <c r="AE117" s="115">
        <f>+'Exhibit F'!AF105+'Exhibit G'!AG93+'Exhibit I'!AI73</f>
        <v>55470.899999999994</v>
      </c>
      <c r="AF117" s="1615"/>
      <c r="AG117" s="1615"/>
      <c r="AH117" s="1615">
        <f t="shared" si="22"/>
        <v>4194.5</v>
      </c>
      <c r="AI117" s="3063"/>
      <c r="AJ117" s="1704">
        <f t="shared" ref="AJ117:AJ123" si="23">ROUND(IF(AE117=0,0,AH117/ABS(AE117)),3)</f>
        <v>7.5999999999999998E-2</v>
      </c>
      <c r="AK117" s="3279"/>
    </row>
    <row r="118" spans="1:37" ht="16.5" customHeight="1">
      <c r="A118" s="253" t="s">
        <v>29</v>
      </c>
      <c r="B118" s="222"/>
      <c r="C118" s="519">
        <f>+'Exhibit F'!D106+'Exhibit G'!D94+'Exhibit I'!E74</f>
        <v>651.9</v>
      </c>
      <c r="D118" s="519"/>
      <c r="E118" s="519">
        <f>+'Exhibit F'!F106+'Exhibit G'!F94+'Exhibit I'!G74</f>
        <v>688.7</v>
      </c>
      <c r="F118" s="519"/>
      <c r="G118" s="519">
        <f>+'Exhibit F'!H106+'Exhibit G'!H94+'Exhibit I'!I74</f>
        <v>1395.4000000000003</v>
      </c>
      <c r="H118" s="519"/>
      <c r="I118" s="519">
        <f>+'Exhibit F'!J106+'Exhibit G'!J94+'Exhibit I'!K74</f>
        <v>906.09999999999991</v>
      </c>
      <c r="J118" s="519"/>
      <c r="K118" s="519">
        <f>+'Exhibit F'!L106+'Exhibit G'!L94+'Exhibit I'!M74</f>
        <v>906.69999999999993</v>
      </c>
      <c r="L118" s="519"/>
      <c r="M118" s="519">
        <f>+'Exhibit F'!N106+'Exhibit G'!N94+'Exhibit I'!O74</f>
        <v>1218.6000000000001</v>
      </c>
      <c r="N118" s="519"/>
      <c r="O118" s="519">
        <f>+'Exhibit F'!P106+'Exhibit G'!P94+'Exhibit I'!Q74</f>
        <v>887.5999999999998</v>
      </c>
      <c r="P118" s="519"/>
      <c r="Q118" s="519">
        <f>+'Exhibit F'!R106+'Exhibit G'!R94+'Exhibit I'!S74</f>
        <v>819.69999999999982</v>
      </c>
      <c r="R118" s="519"/>
      <c r="S118" s="519">
        <f>+'Exhibit F'!T106+'Exhibit G'!T94+'Exhibit I'!U74</f>
        <v>1398.8999999999996</v>
      </c>
      <c r="T118" s="519"/>
      <c r="U118" s="519">
        <f>+'Exhibit F'!V106+'Exhibit G'!V94+'Exhibit I'!W74</f>
        <v>846.90000000000043</v>
      </c>
      <c r="V118" s="519"/>
      <c r="W118" s="519"/>
      <c r="X118" s="519"/>
      <c r="Y118" s="519"/>
      <c r="Z118" s="519"/>
      <c r="AA118" s="520"/>
      <c r="AB118" s="115">
        <f t="shared" si="21"/>
        <v>9720.5</v>
      </c>
      <c r="AC118" s="3075"/>
      <c r="AD118" s="1615"/>
      <c r="AE118" s="115">
        <f>+'Exhibit F'!AF106+'Exhibit G'!AG94+'Exhibit I'!AI74</f>
        <v>8512.7999999999993</v>
      </c>
      <c r="AF118" s="1615"/>
      <c r="AG118" s="1615"/>
      <c r="AH118" s="1615">
        <f t="shared" si="22"/>
        <v>1207.7</v>
      </c>
      <c r="AI118" s="3063"/>
      <c r="AJ118" s="1704">
        <f t="shared" si="23"/>
        <v>0.14199999999999999</v>
      </c>
    </row>
    <row r="119" spans="1:37" ht="16.5" customHeight="1">
      <c r="A119" s="253" t="s">
        <v>30</v>
      </c>
      <c r="B119" s="222"/>
      <c r="C119" s="519">
        <f>+'Exhibit F'!D107+'Exhibit G'!D95+'Exhibit I'!E75</f>
        <v>128.1</v>
      </c>
      <c r="D119" s="519"/>
      <c r="E119" s="519">
        <f>+'Exhibit F'!F107+'Exhibit G'!F95+'Exhibit I'!G75</f>
        <v>139.4</v>
      </c>
      <c r="F119" s="519"/>
      <c r="G119" s="519">
        <f>+'Exhibit F'!H107+'Exhibit G'!H95+'Exhibit I'!I75</f>
        <v>196.10000000000002</v>
      </c>
      <c r="H119" s="519"/>
      <c r="I119" s="519">
        <f>+'Exhibit F'!J107+'Exhibit G'!J95+'Exhibit I'!K75</f>
        <v>220.60000000000002</v>
      </c>
      <c r="J119" s="519"/>
      <c r="K119" s="519">
        <f>+'Exhibit F'!L107+'Exhibit G'!L95+'Exhibit I'!M75</f>
        <v>98.000000000000014</v>
      </c>
      <c r="L119" s="519"/>
      <c r="M119" s="519">
        <f>+'Exhibit F'!N107+'Exhibit G'!N95+'Exhibit I'!O75</f>
        <v>225.3</v>
      </c>
      <c r="N119" s="519"/>
      <c r="O119" s="519">
        <f>+'Exhibit F'!P107+'Exhibit G'!P95+'Exhibit I'!Q75</f>
        <v>211.40000000000006</v>
      </c>
      <c r="P119" s="519"/>
      <c r="Q119" s="519">
        <f>+'Exhibit F'!R107+'Exhibit G'!R95+'Exhibit I'!S75</f>
        <v>107.8</v>
      </c>
      <c r="R119" s="519"/>
      <c r="S119" s="519">
        <f>+'Exhibit F'!T107+'Exhibit G'!T95+'Exhibit I'!U75</f>
        <v>256.29999999999973</v>
      </c>
      <c r="T119" s="519"/>
      <c r="U119" s="519">
        <f>+'Exhibit F'!V107+'Exhibit G'!V95+'Exhibit I'!W75</f>
        <v>515.49999999999989</v>
      </c>
      <c r="V119" s="519"/>
      <c r="W119" s="519"/>
      <c r="X119" s="519"/>
      <c r="Y119" s="519"/>
      <c r="Z119" s="519"/>
      <c r="AA119" s="520"/>
      <c r="AB119" s="115">
        <f t="shared" si="21"/>
        <v>2098.5</v>
      </c>
      <c r="AC119" s="3076"/>
      <c r="AD119" s="3273"/>
      <c r="AE119" s="115">
        <f>+'Exhibit F'!AF107+'Exhibit G'!AG95+'Exhibit I'!AI75</f>
        <v>1777.5000000000002</v>
      </c>
      <c r="AF119" s="1615"/>
      <c r="AG119" s="1615"/>
      <c r="AH119" s="1615">
        <f t="shared" si="22"/>
        <v>321</v>
      </c>
      <c r="AI119" s="3063"/>
      <c r="AJ119" s="1704">
        <f t="shared" si="23"/>
        <v>0.18099999999999999</v>
      </c>
    </row>
    <row r="120" spans="1:37" ht="16.5" customHeight="1">
      <c r="A120" s="253" t="s">
        <v>31</v>
      </c>
      <c r="B120" s="222"/>
      <c r="C120" s="519">
        <f>+'Exhibit F'!D108+'Exhibit G'!D96+'Exhibit I'!E76</f>
        <v>230.2</v>
      </c>
      <c r="D120" s="519"/>
      <c r="E120" s="519">
        <f>+'Exhibit F'!F108+'Exhibit G'!F96+'Exhibit I'!G76</f>
        <v>356.7</v>
      </c>
      <c r="F120" s="519"/>
      <c r="G120" s="519">
        <f>+'Exhibit F'!H108+'Exhibit G'!H96+'Exhibit I'!I76</f>
        <v>905</v>
      </c>
      <c r="H120" s="519"/>
      <c r="I120" s="519">
        <f>+'Exhibit F'!J108+'Exhibit G'!J96+'Exhibit I'!K76</f>
        <v>1005.5</v>
      </c>
      <c r="J120" s="519"/>
      <c r="K120" s="519">
        <f>+'Exhibit F'!L108+'Exhibit G'!L96+'Exhibit I'!M76</f>
        <v>1046.7000000000003</v>
      </c>
      <c r="L120" s="519"/>
      <c r="M120" s="519">
        <f>+'Exhibit F'!N108+'Exhibit G'!N96+'Exhibit I'!O76</f>
        <v>2372.2000000000003</v>
      </c>
      <c r="N120" s="519"/>
      <c r="O120" s="519">
        <f>+'Exhibit F'!P108+'Exhibit G'!P96+'Exhibit I'!Q76</f>
        <v>2269.3999999999987</v>
      </c>
      <c r="P120" s="519"/>
      <c r="Q120" s="519">
        <f>+'Exhibit F'!R108+'Exhibit G'!R96+'Exhibit I'!S76</f>
        <v>701.40000000000123</v>
      </c>
      <c r="R120" s="519"/>
      <c r="S120" s="519">
        <f>+'Exhibit F'!T108+'Exhibit G'!T96+'Exhibit I'!U76</f>
        <v>1343.4999999999989</v>
      </c>
      <c r="T120" s="519"/>
      <c r="U120" s="519">
        <f>+'Exhibit F'!V108+'Exhibit G'!V96+'Exhibit I'!W76</f>
        <v>990.80000000000041</v>
      </c>
      <c r="V120" s="519"/>
      <c r="W120" s="519"/>
      <c r="X120" s="519"/>
      <c r="Y120" s="519"/>
      <c r="Z120" s="519"/>
      <c r="AA120" s="520"/>
      <c r="AB120" s="115">
        <f t="shared" si="21"/>
        <v>11221.4</v>
      </c>
      <c r="AC120" s="3076"/>
      <c r="AD120" s="3273"/>
      <c r="AE120" s="115">
        <f>+'Exhibit F'!AF108+'Exhibit G'!AG96+'Exhibit I'!AI76</f>
        <v>5257.4</v>
      </c>
      <c r="AF120" s="1615"/>
      <c r="AG120" s="1615"/>
      <c r="AH120" s="1615">
        <f t="shared" si="22"/>
        <v>5964</v>
      </c>
      <c r="AI120" s="3063"/>
      <c r="AJ120" s="1704">
        <f t="shared" si="23"/>
        <v>1.1339999999999999</v>
      </c>
    </row>
    <row r="121" spans="1:37" ht="16.5" customHeight="1">
      <c r="A121" s="253" t="s">
        <v>32</v>
      </c>
      <c r="B121" s="222"/>
      <c r="C121" s="519">
        <f>+'Exhibit F'!D109+'Exhibit G'!D97+'Exhibit I'!E77</f>
        <v>26.700000000000003</v>
      </c>
      <c r="D121" s="519"/>
      <c r="E121" s="519">
        <f>+'Exhibit F'!F109+'Exhibit G'!F97+'Exhibit I'!G77</f>
        <v>63.5</v>
      </c>
      <c r="F121" s="519"/>
      <c r="G121" s="519">
        <f>+'Exhibit F'!H109+'Exhibit G'!H97+'Exhibit I'!I77</f>
        <v>359.4</v>
      </c>
      <c r="H121" s="519"/>
      <c r="I121" s="519">
        <f>+'Exhibit F'!J109+'Exhibit G'!J97+'Exhibit I'!K77</f>
        <v>68.399999999999977</v>
      </c>
      <c r="J121" s="519"/>
      <c r="K121" s="519">
        <f>+'Exhibit F'!L109+'Exhibit G'!L97+'Exhibit I'!M77</f>
        <v>50.199999999999974</v>
      </c>
      <c r="L121" s="519"/>
      <c r="M121" s="519">
        <f>+'Exhibit F'!N109+'Exhibit G'!N97+'Exhibit I'!O77</f>
        <v>132.80000000000004</v>
      </c>
      <c r="N121" s="519"/>
      <c r="O121" s="519">
        <f>+'Exhibit F'!P109+'Exhibit G'!P97+'Exhibit I'!Q77</f>
        <v>264.5</v>
      </c>
      <c r="P121" s="519"/>
      <c r="Q121" s="519">
        <f>+'Exhibit F'!R109+'Exhibit G'!R97+'Exhibit I'!S77</f>
        <v>240.50000000000003</v>
      </c>
      <c r="R121" s="519"/>
      <c r="S121" s="519">
        <f>+'Exhibit F'!T109+'Exhibit G'!T97+'Exhibit I'!U77</f>
        <v>105.1999999999999</v>
      </c>
      <c r="T121" s="519"/>
      <c r="U121" s="519">
        <f>+'Exhibit F'!V109+'Exhibit G'!V97+'Exhibit I'!W77</f>
        <v>37.499999999999972</v>
      </c>
      <c r="V121" s="519"/>
      <c r="W121" s="519"/>
      <c r="X121" s="519"/>
      <c r="Y121" s="519"/>
      <c r="Z121" s="519"/>
      <c r="AA121" s="520"/>
      <c r="AB121" s="115">
        <f t="shared" si="21"/>
        <v>1348.7</v>
      </c>
      <c r="AC121" s="3076"/>
      <c r="AD121" s="3273"/>
      <c r="AE121" s="115">
        <f>+'Exhibit F'!AF109+'Exhibit G'!AG97+'Exhibit I'!AI77</f>
        <v>527.29999999999995</v>
      </c>
      <c r="AF121" s="1615"/>
      <c r="AG121" s="1615"/>
      <c r="AH121" s="1615">
        <f t="shared" si="22"/>
        <v>821.4</v>
      </c>
      <c r="AI121" s="3063"/>
      <c r="AJ121" s="1704">
        <f t="shared" si="23"/>
        <v>1.5580000000000001</v>
      </c>
    </row>
    <row r="122" spans="1:37" ht="16.5" customHeight="1">
      <c r="A122" s="253" t="s">
        <v>33</v>
      </c>
      <c r="B122" s="222"/>
      <c r="C122" s="519">
        <f>+'Exhibit F'!D110+'Exhibit G'!D98+'Exhibit I'!E78</f>
        <v>392.6</v>
      </c>
      <c r="D122" s="519"/>
      <c r="E122" s="519">
        <f>+'Exhibit F'!F110+'Exhibit G'!F98+'Exhibit I'!G78</f>
        <v>471.2999999999999</v>
      </c>
      <c r="F122" s="519"/>
      <c r="G122" s="519">
        <f>+'Exhibit F'!H110+'Exhibit G'!H98+'Exhibit I'!I78</f>
        <v>571.70000000000005</v>
      </c>
      <c r="H122" s="519"/>
      <c r="I122" s="519">
        <f>+'Exhibit F'!J110+'Exhibit G'!J98+'Exhibit I'!K78</f>
        <v>570.29999999999995</v>
      </c>
      <c r="J122" s="519"/>
      <c r="K122" s="519">
        <f>+'Exhibit F'!L110+'Exhibit G'!L98+'Exhibit I'!M78</f>
        <v>654.09999999999991</v>
      </c>
      <c r="L122" s="519"/>
      <c r="M122" s="519">
        <f>+'Exhibit F'!N110+'Exhibit G'!N98+'Exhibit I'!O78</f>
        <v>623.80000000000041</v>
      </c>
      <c r="N122" s="519"/>
      <c r="O122" s="519">
        <f>+'Exhibit F'!P110+'Exhibit G'!P98+'Exhibit I'!Q78</f>
        <v>485.0999999999998</v>
      </c>
      <c r="P122" s="519"/>
      <c r="Q122" s="519">
        <f>+'Exhibit F'!R110+'Exhibit G'!R98+'Exhibit I'!S78</f>
        <v>756.90000000000009</v>
      </c>
      <c r="R122" s="519"/>
      <c r="S122" s="519">
        <f>+'Exhibit F'!T110+'Exhibit G'!T98+'Exhibit I'!U78</f>
        <v>1278.5999999999999</v>
      </c>
      <c r="T122" s="519"/>
      <c r="U122" s="519">
        <f>+'Exhibit F'!V110+'Exhibit G'!V98+'Exhibit I'!W78</f>
        <v>123.6999999999999</v>
      </c>
      <c r="V122" s="519"/>
      <c r="W122" s="519"/>
      <c r="X122" s="519"/>
      <c r="Y122" s="519"/>
      <c r="Z122" s="519"/>
      <c r="AA122" s="520"/>
      <c r="AB122" s="1615">
        <f>ROUND(SUM(C122:Y122),1)</f>
        <v>5928.1</v>
      </c>
      <c r="AC122" s="3076"/>
      <c r="AD122" s="3273"/>
      <c r="AE122" s="115">
        <f>+'Exhibit F'!AF110+'Exhibit G'!AG98+'Exhibit I'!AI78</f>
        <v>5192.3</v>
      </c>
      <c r="AF122" s="1615"/>
      <c r="AG122" s="1615"/>
      <c r="AH122" s="1615">
        <f>ROUND(SUM(AB122-AE122),1)</f>
        <v>735.8</v>
      </c>
      <c r="AI122" s="3063"/>
      <c r="AJ122" s="1704">
        <f t="shared" si="23"/>
        <v>0.14199999999999999</v>
      </c>
    </row>
    <row r="123" spans="1:37" ht="16.5" customHeight="1">
      <c r="A123" s="222" t="s">
        <v>34</v>
      </c>
      <c r="B123" s="222"/>
      <c r="C123" s="529">
        <f>ROUND(SUM(C113:C122),1)</f>
        <v>8805.5</v>
      </c>
      <c r="D123" s="523"/>
      <c r="E123" s="529">
        <f>ROUND(SUM(E113:E122),1)</f>
        <v>11956.9</v>
      </c>
      <c r="F123" s="523"/>
      <c r="G123" s="529">
        <f>ROUND(SUM(G113:G122),1)</f>
        <v>14577.9</v>
      </c>
      <c r="H123" s="523"/>
      <c r="I123" s="529">
        <f>ROUND(SUM(I113:I122),1)</f>
        <v>9828.9</v>
      </c>
      <c r="J123" s="523"/>
      <c r="K123" s="529">
        <f>ROUND(SUM(K113:K122),1)</f>
        <v>10183.700000000001</v>
      </c>
      <c r="L123" s="523"/>
      <c r="M123" s="529">
        <f>ROUND(SUM(M113:M122),1)</f>
        <v>14658.9</v>
      </c>
      <c r="N123" s="523"/>
      <c r="O123" s="3068">
        <f>ROUND(SUM(O113:O122),1)</f>
        <v>12954.7</v>
      </c>
      <c r="P123" s="523"/>
      <c r="Q123" s="3068">
        <f>ROUND(SUM(Q113:Q122),1)</f>
        <v>10785.7</v>
      </c>
      <c r="R123" s="523"/>
      <c r="S123" s="529">
        <f>ROUND(SUM(S113:S122),1)</f>
        <v>15568.4</v>
      </c>
      <c r="T123" s="523"/>
      <c r="U123" s="529">
        <f>ROUND(SUM(U113:U122),1)</f>
        <v>11562.7</v>
      </c>
      <c r="V123" s="523"/>
      <c r="W123" s="529">
        <f>ROUND(SUM(W113:W122),1)</f>
        <v>0</v>
      </c>
      <c r="X123" s="523"/>
      <c r="Y123" s="529">
        <f>ROUND(SUM(Y113:Y122),1)</f>
        <v>0</v>
      </c>
      <c r="Z123" s="523"/>
      <c r="AA123" s="524"/>
      <c r="AB123" s="3068">
        <f>ROUND(SUM(AB113:AB122),1)</f>
        <v>120883.3</v>
      </c>
      <c r="AC123" s="3077"/>
      <c r="AD123" s="3280"/>
      <c r="AE123" s="3068">
        <f>ROUND(SUM(AE113:AE122),1)</f>
        <v>106585.5</v>
      </c>
      <c r="AF123" s="3071"/>
      <c r="AG123" s="3071"/>
      <c r="AH123" s="3068">
        <f>ROUND(SUM(AH113:AH122),1)</f>
        <v>14297.8</v>
      </c>
      <c r="AI123" s="3064"/>
      <c r="AJ123" s="3270">
        <f t="shared" si="23"/>
        <v>0.13400000000000001</v>
      </c>
      <c r="AK123" s="3263"/>
    </row>
    <row r="124" spans="1:37" ht="16.5" customHeight="1">
      <c r="A124" s="222" t="s">
        <v>35</v>
      </c>
      <c r="B124" s="222"/>
      <c r="C124" s="526"/>
      <c r="D124" s="519"/>
      <c r="E124" s="526"/>
      <c r="F124" s="519"/>
      <c r="G124" s="526"/>
      <c r="H124" s="519"/>
      <c r="I124" s="526"/>
      <c r="J124" s="519"/>
      <c r="K124" s="526"/>
      <c r="L124" s="519"/>
      <c r="M124" s="526"/>
      <c r="N124" s="519"/>
      <c r="O124" s="2146"/>
      <c r="P124" s="519"/>
      <c r="Q124" s="2146"/>
      <c r="R124" s="519"/>
      <c r="S124" s="526"/>
      <c r="T124" s="519"/>
      <c r="U124" s="526"/>
      <c r="V124" s="519"/>
      <c r="W124" s="526"/>
      <c r="X124" s="519"/>
      <c r="Y124" s="526"/>
      <c r="Z124" s="519"/>
      <c r="AA124" s="520"/>
      <c r="AB124" s="2146"/>
      <c r="AC124" s="1615"/>
      <c r="AD124" s="3273"/>
      <c r="AE124" s="64"/>
      <c r="AF124" s="1615"/>
      <c r="AG124" s="1615"/>
      <c r="AH124" s="883"/>
      <c r="AI124" s="3063"/>
      <c r="AJ124" s="879"/>
    </row>
    <row r="125" spans="1:37" ht="16.5" customHeight="1">
      <c r="A125" s="222" t="s">
        <v>137</v>
      </c>
      <c r="B125" s="222"/>
      <c r="C125" s="519">
        <f>+'Exhibit F'!D113+'Exhibit G'!D101+'Exhibit I'!E81</f>
        <v>1158.2</v>
      </c>
      <c r="D125" s="519"/>
      <c r="E125" s="519">
        <f>+'Exhibit F'!F113+'Exhibit G'!F101+'Exhibit I'!G81</f>
        <v>1182.3</v>
      </c>
      <c r="F125" s="519"/>
      <c r="G125" s="519">
        <f>+'Exhibit F'!H113+'Exhibit G'!H101+'Exhibit I'!I81</f>
        <v>1167.5</v>
      </c>
      <c r="H125" s="519"/>
      <c r="I125" s="519">
        <f>+'Exhibit F'!J113+'Exhibit G'!J101+'Exhibit I'!K81</f>
        <v>1336.7000000000003</v>
      </c>
      <c r="J125" s="519"/>
      <c r="K125" s="519">
        <f>+'Exhibit F'!L113+'Exhibit G'!L101+'Exhibit I'!M81</f>
        <v>1113.3000000000002</v>
      </c>
      <c r="L125" s="519"/>
      <c r="M125" s="519">
        <f>+'Exhibit F'!N113+'Exhibit G'!N101+'Exhibit I'!O81</f>
        <v>1486.2999999999997</v>
      </c>
      <c r="N125" s="519"/>
      <c r="O125" s="519">
        <f>+'Exhibit F'!P113+'Exhibit G'!P101+'Exhibit I'!Q81</f>
        <v>1099.099999999999</v>
      </c>
      <c r="P125" s="519"/>
      <c r="Q125" s="519">
        <f>+'Exhibit F'!R113+'Exhibit G'!R101+'Exhibit I'!S81</f>
        <v>1432.3000000000006</v>
      </c>
      <c r="R125" s="519"/>
      <c r="S125" s="519">
        <f>+'Exhibit F'!T113+'Exhibit G'!T101+'Exhibit I'!U81</f>
        <v>1341.8000000000002</v>
      </c>
      <c r="T125" s="519"/>
      <c r="U125" s="519">
        <f>+'Exhibit F'!V113+'Exhibit G'!V101+'Exhibit I'!W81</f>
        <v>1114.5000000000005</v>
      </c>
      <c r="V125" s="519"/>
      <c r="W125" s="519"/>
      <c r="X125" s="519"/>
      <c r="Y125" s="519"/>
      <c r="Z125" s="519"/>
      <c r="AA125" s="520"/>
      <c r="AB125" s="1615">
        <f>ROUND(SUM(C125:Y125),1)</f>
        <v>12432</v>
      </c>
      <c r="AC125" s="1615"/>
      <c r="AD125" s="3273"/>
      <c r="AE125" s="64">
        <f>+'Exhibit F'!AF113+'Exhibit G'!AG101+'Exhibit I'!AI81</f>
        <v>12268.2</v>
      </c>
      <c r="AF125" s="1615"/>
      <c r="AG125" s="1615"/>
      <c r="AH125" s="1615">
        <f>ROUND(SUM(AB125-AE125),1)</f>
        <v>163.80000000000001</v>
      </c>
      <c r="AI125" s="3063"/>
      <c r="AJ125" s="1704">
        <f>ROUND(IF(AE125=0,0,AH125/ABS(AE125)),3)</f>
        <v>1.2999999999999999E-2</v>
      </c>
    </row>
    <row r="126" spans="1:37" ht="16.5" customHeight="1">
      <c r="A126" s="222" t="s">
        <v>138</v>
      </c>
      <c r="B126" s="222"/>
      <c r="C126" s="519">
        <f>+'Exhibit F'!D114+'Exhibit G'!D102+'Exhibit H'!B58+'Exhibit I'!E82</f>
        <v>519.40000000000009</v>
      </c>
      <c r="D126" s="519"/>
      <c r="E126" s="519">
        <f>+'Exhibit F'!F114+'Exhibit G'!F102+'Exhibit H'!D58+'Exhibit I'!G82</f>
        <v>576</v>
      </c>
      <c r="F126" s="519"/>
      <c r="G126" s="519">
        <f>+'Exhibit F'!H114+'Exhibit G'!H102+'Exhibit H'!F58+'Exhibit I'!I82</f>
        <v>839.1</v>
      </c>
      <c r="H126" s="519"/>
      <c r="I126" s="519">
        <f>+'Exhibit F'!J114+'Exhibit G'!J102+'Exhibit H'!H58+'Exhibit I'!K82</f>
        <v>515.99999999999989</v>
      </c>
      <c r="J126" s="519"/>
      <c r="K126" s="519">
        <f>+'Exhibit F'!L114+'Exhibit G'!L102+'Exhibit H'!J58+'Exhibit I'!M82</f>
        <v>726.90000000000009</v>
      </c>
      <c r="L126" s="519"/>
      <c r="M126" s="519">
        <f>+'Exhibit F'!N114+'Exhibit G'!N102+'Exhibit H'!L58+'Exhibit I'!O82</f>
        <v>690.59999999999991</v>
      </c>
      <c r="N126" s="519" t="s">
        <v>14</v>
      </c>
      <c r="O126" s="519">
        <f>+'Exhibit F'!P114+'Exhibit G'!P102+'Exhibit H'!N58+'Exhibit I'!Q82</f>
        <v>673.29999999999984</v>
      </c>
      <c r="P126" s="519"/>
      <c r="Q126" s="519">
        <f>+'Exhibit F'!R114+'Exhibit G'!R102+'Exhibit H'!P58+'Exhibit I'!S82</f>
        <v>690.50000000000011</v>
      </c>
      <c r="R126" s="519"/>
      <c r="S126" s="519">
        <f>+'Exhibit F'!T114+'Exhibit G'!T102+'Exhibit H'!R58+'Exhibit I'!U82</f>
        <v>729.69999999999982</v>
      </c>
      <c r="T126" s="519"/>
      <c r="U126" s="519">
        <f>+'Exhibit F'!V114+'Exhibit G'!V102+'Exhibit H'!T58+'Exhibit I'!W82</f>
        <v>820.70000000000016</v>
      </c>
      <c r="V126" s="519"/>
      <c r="W126" s="519"/>
      <c r="X126" s="519"/>
      <c r="Y126" s="519"/>
      <c r="Z126" s="519"/>
      <c r="AA126" s="520"/>
      <c r="AB126" s="1615">
        <f>ROUND(SUM(C126:Y126),1)</f>
        <v>6782.2</v>
      </c>
      <c r="AC126" s="1615"/>
      <c r="AD126" s="3273"/>
      <c r="AE126" s="64">
        <f>+'Exhibit F'!AF114+'Exhibit G'!AG102+'Exhibit H'!AD58+'Exhibit I'!AI82</f>
        <v>5837.4000000000005</v>
      </c>
      <c r="AF126" s="1615"/>
      <c r="AG126" s="1615"/>
      <c r="AH126" s="1615">
        <f>ROUND(SUM(AB126-AE126),1)</f>
        <v>944.8</v>
      </c>
      <c r="AI126" s="3063"/>
      <c r="AJ126" s="1704">
        <f>ROUND(IF(AE126=0,0,AH126/ABS(AE126)),3)</f>
        <v>0.16200000000000001</v>
      </c>
    </row>
    <row r="127" spans="1:37" ht="16.5" customHeight="1">
      <c r="A127" s="222" t="s">
        <v>38</v>
      </c>
      <c r="B127" s="222"/>
      <c r="C127" s="519">
        <f>+'Exhibit F'!D115+'Exhibit G'!D103+'Exhibit I'!E83</f>
        <v>895.5</v>
      </c>
      <c r="D127" s="519"/>
      <c r="E127" s="519">
        <f>+'Exhibit F'!F115+'Exhibit G'!F103+'Exhibit I'!G83</f>
        <v>2367.0000000000005</v>
      </c>
      <c r="F127" s="519"/>
      <c r="G127" s="519">
        <f>+'Exhibit F'!H115+'Exhibit G'!H103+'Exhibit I'!I83</f>
        <v>625.29999999999927</v>
      </c>
      <c r="H127" s="519"/>
      <c r="I127" s="519">
        <f>+'Exhibit F'!J115+'Exhibit G'!J103+'Exhibit I'!K83</f>
        <v>645.80000000000075</v>
      </c>
      <c r="J127" s="519"/>
      <c r="K127" s="519">
        <f>+'Exhibit F'!L115+'Exhibit G'!L103+'Exhibit I'!M83</f>
        <v>508.49999999999966</v>
      </c>
      <c r="L127" s="519"/>
      <c r="M127" s="519">
        <f>+'Exhibit F'!N115+'Exhibit G'!N103+'Exhibit I'!O83</f>
        <v>731.89999999999964</v>
      </c>
      <c r="N127" s="519"/>
      <c r="O127" s="519">
        <f>+'Exhibit F'!P115+'Exhibit G'!P103+'Exhibit I'!Q83</f>
        <v>621.29999999999973</v>
      </c>
      <c r="P127" s="519"/>
      <c r="Q127" s="519">
        <f>+'Exhibit F'!R115+'Exhibit G'!R103+'Exhibit I'!S83</f>
        <v>829.80000000000086</v>
      </c>
      <c r="R127" s="519"/>
      <c r="S127" s="519">
        <f>+'Exhibit F'!T115+'Exhibit G'!T103+'Exhibit I'!U83</f>
        <v>673.69999999999982</v>
      </c>
      <c r="T127" s="519"/>
      <c r="U127" s="519">
        <f>+'Exhibit F'!V115+'Exhibit G'!V103+'Exhibit I'!W83</f>
        <v>586.20000000000027</v>
      </c>
      <c r="V127" s="519"/>
      <c r="W127" s="519"/>
      <c r="X127" s="519"/>
      <c r="Y127" s="519"/>
      <c r="Z127" s="519"/>
      <c r="AA127" s="520"/>
      <c r="AB127" s="1615">
        <f>ROUND(SUM(C127:Y127),1)</f>
        <v>8485</v>
      </c>
      <c r="AC127" s="1615"/>
      <c r="AD127" s="3273"/>
      <c r="AE127" s="64">
        <f>+'Exhibit F'!AF115+'Exhibit G'!AG103+'Exhibit H'!AD59+'Exhibit I'!AI83</f>
        <v>7107.8</v>
      </c>
      <c r="AF127" s="1615"/>
      <c r="AG127" s="1615"/>
      <c r="AH127" s="1615">
        <f>ROUND(SUM(AB127-AE127),1)</f>
        <v>1377.2</v>
      </c>
      <c r="AI127" s="3063"/>
      <c r="AJ127" s="1704">
        <f>ROUND(IF(AE127=0,0,AH127/ABS(AE127)),3)</f>
        <v>0.19400000000000001</v>
      </c>
    </row>
    <row r="128" spans="1:37" ht="16.5" customHeight="1">
      <c r="A128" s="222" t="s">
        <v>1158</v>
      </c>
      <c r="B128" s="222"/>
      <c r="C128" s="526"/>
      <c r="D128" s="519"/>
      <c r="E128" s="526"/>
      <c r="F128" s="519"/>
      <c r="G128" s="526"/>
      <c r="H128" s="519"/>
      <c r="I128" s="526"/>
      <c r="J128" s="519"/>
      <c r="K128" s="526"/>
      <c r="L128" s="519"/>
      <c r="M128" s="526"/>
      <c r="N128" s="519"/>
      <c r="O128" s="526"/>
      <c r="P128" s="519"/>
      <c r="Q128" s="526"/>
      <c r="R128" s="519"/>
      <c r="S128" s="526"/>
      <c r="T128" s="519"/>
      <c r="U128" s="526"/>
      <c r="V128" s="519"/>
      <c r="W128" s="526"/>
      <c r="X128" s="519"/>
      <c r="Y128" s="526"/>
      <c r="Z128" s="519"/>
      <c r="AA128" s="520"/>
      <c r="AB128" s="1615"/>
      <c r="AC128" s="1615"/>
      <c r="AD128" s="3273"/>
      <c r="AE128" s="2146"/>
      <c r="AF128" s="1615"/>
      <c r="AG128" s="1615"/>
      <c r="AH128" s="1615"/>
      <c r="AI128" s="3063"/>
      <c r="AJ128" s="3274"/>
    </row>
    <row r="129" spans="1:44" ht="16.5" customHeight="1">
      <c r="A129" s="222" t="s">
        <v>40</v>
      </c>
      <c r="B129" s="222"/>
      <c r="C129" s="519">
        <f>+'Exhibit H'!B60</f>
        <v>122.4</v>
      </c>
      <c r="D129" s="519"/>
      <c r="E129" s="519">
        <f>+'Exhibit H'!D60</f>
        <v>40.5</v>
      </c>
      <c r="F129" s="519"/>
      <c r="G129" s="519">
        <f>+'Exhibit H'!F60+'Exhibit G'!H105</f>
        <v>20.499999999999986</v>
      </c>
      <c r="H129" s="519"/>
      <c r="I129" s="519">
        <f>+'Exhibit H'!H60+'Exhibit G'!J105</f>
        <v>7.2</v>
      </c>
      <c r="J129" s="519"/>
      <c r="K129" s="519">
        <f>+'Exhibit H'!J60+'Exhibit G'!L105</f>
        <v>307.70000000000005</v>
      </c>
      <c r="L129" s="519"/>
      <c r="M129" s="519">
        <f>+'Exhibit H'!L60+'Exhibit G'!N105</f>
        <v>742.19999999999982</v>
      </c>
      <c r="N129" s="519"/>
      <c r="O129" s="519">
        <f>+'Exhibit H'!N60+'Exhibit G'!P105</f>
        <v>9.2000000000000455</v>
      </c>
      <c r="P129" s="519"/>
      <c r="Q129" s="519">
        <f>+'Exhibit H'!P60+'Exhibit G'!R105</f>
        <v>26</v>
      </c>
      <c r="R129" s="519"/>
      <c r="S129" s="519">
        <f>+'Exhibit H'!R60+'Exhibit G'!T105</f>
        <v>209.19999999999982</v>
      </c>
      <c r="T129" s="519"/>
      <c r="U129" s="519">
        <f>+'Exhibit H'!T60+'Exhibit G'!V105</f>
        <v>7.6000000000001364</v>
      </c>
      <c r="V129" s="519"/>
      <c r="W129" s="519"/>
      <c r="X129" s="519"/>
      <c r="Y129" s="519"/>
      <c r="Z129" s="519"/>
      <c r="AA129" s="520"/>
      <c r="AB129" s="1615">
        <f>ROUND(SUM(C129:Y129),1)</f>
        <v>1492.5</v>
      </c>
      <c r="AC129" s="1615"/>
      <c r="AD129" s="3273"/>
      <c r="AE129" s="64">
        <f>+'Exhibit H'!AD60+'Exhibit G'!AG105</f>
        <v>2691.7999999999997</v>
      </c>
      <c r="AF129" s="1615"/>
      <c r="AG129" s="1615"/>
      <c r="AH129" s="1615">
        <f>ROUND(SUM(AB129-AE129),1)</f>
        <v>-1199.3</v>
      </c>
      <c r="AI129" s="3063"/>
      <c r="AJ129" s="1704">
        <f>ROUND(IF(AE129=0,0,AH129/ABS(AE129)),3)</f>
        <v>-0.44600000000000001</v>
      </c>
    </row>
    <row r="130" spans="1:44" ht="16.5" customHeight="1">
      <c r="A130" s="528" t="s">
        <v>139</v>
      </c>
      <c r="B130" s="222"/>
      <c r="C130" s="521">
        <f>+'Exhibit G'!D106+'Exhibit I'!E84</f>
        <v>398.20000000000005</v>
      </c>
      <c r="D130" s="519"/>
      <c r="E130" s="521">
        <f>+'Exhibit G'!F106+'Exhibit I'!G84</f>
        <v>514.1</v>
      </c>
      <c r="F130" s="519"/>
      <c r="G130" s="521">
        <f>+'Exhibit G'!H106+'Exhibit I'!I84</f>
        <v>631.40000000000009</v>
      </c>
      <c r="H130" s="519"/>
      <c r="I130" s="521">
        <f>+'Exhibit G'!J106+'Exhibit I'!K84</f>
        <v>554.19999999999982</v>
      </c>
      <c r="J130" s="519"/>
      <c r="K130" s="521">
        <f>+'Exhibit G'!L106+'Exhibit I'!M84</f>
        <v>699.60000000000014</v>
      </c>
      <c r="L130" s="519"/>
      <c r="M130" s="521">
        <f>+'Exhibit G'!N106+'Exhibit I'!O84</f>
        <v>710.0999999999998</v>
      </c>
      <c r="N130" s="519"/>
      <c r="O130" s="521">
        <f>+'Exhibit G'!P106+'Exhibit I'!Q84</f>
        <v>601.50000000000034</v>
      </c>
      <c r="P130" s="519"/>
      <c r="Q130" s="521">
        <f>+'Exhibit G'!R106+'Exhibit I'!S84</f>
        <v>744.7</v>
      </c>
      <c r="R130" s="519"/>
      <c r="S130" s="521">
        <f>+'Exhibit G'!T106+'Exhibit I'!U84</f>
        <v>649.79999999999973</v>
      </c>
      <c r="T130" s="519"/>
      <c r="U130" s="521">
        <f>+'Exhibit G'!V106+'Exhibit I'!W84</f>
        <v>558.79999999999961</v>
      </c>
      <c r="V130" s="519"/>
      <c r="W130" s="521"/>
      <c r="X130" s="519"/>
      <c r="Y130" s="521"/>
      <c r="Z130" s="519"/>
      <c r="AA130" s="520"/>
      <c r="AB130" s="3073">
        <f>ROUND(SUM(C130:Y130),1)</f>
        <v>6062.4</v>
      </c>
      <c r="AC130" s="1615"/>
      <c r="AD130" s="3273"/>
      <c r="AE130" s="3771">
        <f>+'Exhibit G'!AG106+'Exhibit I'!AI84</f>
        <v>5840.8</v>
      </c>
      <c r="AF130" s="1615"/>
      <c r="AG130" s="1615"/>
      <c r="AH130" s="3073">
        <f>ROUND(SUM(AB130-AE130),1)</f>
        <v>221.6</v>
      </c>
      <c r="AI130" s="3063"/>
      <c r="AJ130" s="3277">
        <f>ROUND(IF(AE130=0,0,AH130/ABS(AE130)),3)</f>
        <v>3.7999999999999999E-2</v>
      </c>
    </row>
    <row r="131" spans="1:44" ht="16.5" customHeight="1">
      <c r="A131" s="222"/>
      <c r="B131" s="222"/>
      <c r="C131" s="526"/>
      <c r="D131" s="519"/>
      <c r="E131" s="526"/>
      <c r="F131" s="519"/>
      <c r="G131" s="526"/>
      <c r="H131" s="519"/>
      <c r="I131" s="526"/>
      <c r="J131" s="519"/>
      <c r="K131" s="526"/>
      <c r="L131" s="519"/>
      <c r="M131" s="526"/>
      <c r="N131" s="519"/>
      <c r="O131" s="2146"/>
      <c r="P131" s="519"/>
      <c r="Q131" s="2146"/>
      <c r="R131" s="519"/>
      <c r="S131" s="526"/>
      <c r="T131" s="519"/>
      <c r="U131" s="526"/>
      <c r="V131" s="519"/>
      <c r="W131" s="526"/>
      <c r="X131" s="519"/>
      <c r="Y131" s="526"/>
      <c r="Z131" s="519"/>
      <c r="AA131" s="520"/>
      <c r="AB131" s="2146"/>
      <c r="AC131" s="1615"/>
      <c r="AD131" s="3273"/>
      <c r="AE131" s="2146"/>
      <c r="AF131" s="1615"/>
      <c r="AG131" s="1615"/>
      <c r="AH131" s="2146"/>
      <c r="AI131" s="3063"/>
      <c r="AJ131" s="3281"/>
    </row>
    <row r="132" spans="1:44" ht="16.5" customHeight="1">
      <c r="A132" s="204" t="s">
        <v>56</v>
      </c>
      <c r="B132" s="222"/>
      <c r="C132" s="522">
        <f>ROUND(SUM(C123:C130),1)</f>
        <v>11899.2</v>
      </c>
      <c r="D132" s="523"/>
      <c r="E132" s="522">
        <f>ROUND(SUM(E123:E130),1)</f>
        <v>16636.8</v>
      </c>
      <c r="F132" s="523"/>
      <c r="G132" s="522">
        <f>ROUND(SUM(G123:G130),1)</f>
        <v>17861.7</v>
      </c>
      <c r="H132" s="523"/>
      <c r="I132" s="522">
        <f>ROUND(SUM(I123:I130),1)</f>
        <v>12888.8</v>
      </c>
      <c r="J132" s="523"/>
      <c r="K132" s="522">
        <f>ROUND(SUM(K123:K130),1)</f>
        <v>13539.7</v>
      </c>
      <c r="L132" s="523"/>
      <c r="M132" s="522">
        <f>ROUND(SUM(M123:M130),1)</f>
        <v>19020</v>
      </c>
      <c r="N132" s="523"/>
      <c r="O132" s="2147">
        <f>ROUND(SUM(O123:O130),1)</f>
        <v>15959.1</v>
      </c>
      <c r="P132" s="523"/>
      <c r="Q132" s="2147">
        <f>ROUND(SUM(Q123:Q130),1)</f>
        <v>14509</v>
      </c>
      <c r="R132" s="523"/>
      <c r="S132" s="522">
        <f>ROUND(SUM(S123:S130),1)</f>
        <v>19172.599999999999</v>
      </c>
      <c r="T132" s="523"/>
      <c r="U132" s="522">
        <f>ROUND(SUM(U123:U130),1)</f>
        <v>14650.5</v>
      </c>
      <c r="V132" s="523"/>
      <c r="W132" s="522">
        <f>ROUND(SUM(W123:W130),1)</f>
        <v>0</v>
      </c>
      <c r="X132" s="523"/>
      <c r="Y132" s="522">
        <f>ROUND(SUM(Y123:Y130),1)</f>
        <v>0</v>
      </c>
      <c r="Z132" s="523"/>
      <c r="AA132" s="524"/>
      <c r="AB132" s="2147">
        <f>ROUND(SUM(AB123:AB130),1)</f>
        <v>156137.4</v>
      </c>
      <c r="AC132" s="3071"/>
      <c r="AD132" s="3280"/>
      <c r="AE132" s="2147">
        <f>ROUND(SUM(AE123:AE130),1)</f>
        <v>140331.5</v>
      </c>
      <c r="AF132" s="3071"/>
      <c r="AG132" s="3071"/>
      <c r="AH132" s="2147">
        <f>ROUND(SUM(AB132-AE132),1)</f>
        <v>15805.9</v>
      </c>
      <c r="AI132" s="3064"/>
      <c r="AJ132" s="3272">
        <f>ROUND(IF(AE132=0,0,AH132/ABS(AE132)),3)</f>
        <v>0.113</v>
      </c>
      <c r="AK132" s="3263"/>
      <c r="AM132" s="425"/>
      <c r="AN132" s="425"/>
      <c r="AO132" s="425"/>
      <c r="AP132" s="425"/>
      <c r="AQ132" s="425"/>
      <c r="AR132" s="425"/>
    </row>
    <row r="133" spans="1:44" ht="16.5" customHeight="1">
      <c r="A133" s="204"/>
      <c r="B133" s="222"/>
      <c r="C133" s="519"/>
      <c r="D133" s="519"/>
      <c r="E133" s="519"/>
      <c r="F133" s="519"/>
      <c r="G133" s="519"/>
      <c r="H133" s="519"/>
      <c r="I133" s="519"/>
      <c r="J133" s="519"/>
      <c r="K133" s="519"/>
      <c r="L133" s="519"/>
      <c r="M133" s="519"/>
      <c r="N133" s="519"/>
      <c r="O133" s="1615"/>
      <c r="P133" s="519"/>
      <c r="Q133" s="1615"/>
      <c r="R133" s="519"/>
      <c r="S133" s="519"/>
      <c r="T133" s="519"/>
      <c r="U133" s="519"/>
      <c r="V133" s="519"/>
      <c r="W133" s="519"/>
      <c r="X133" s="519"/>
      <c r="Y133" s="519"/>
      <c r="Z133" s="519"/>
      <c r="AA133" s="520"/>
      <c r="AB133" s="1615"/>
      <c r="AC133" s="1615"/>
      <c r="AD133" s="3273"/>
      <c r="AE133" s="1615"/>
      <c r="AF133" s="1615"/>
      <c r="AG133" s="1615"/>
      <c r="AH133" s="883"/>
      <c r="AI133" s="3063"/>
      <c r="AJ133" s="879"/>
    </row>
    <row r="134" spans="1:44" ht="16.5" customHeight="1">
      <c r="A134" s="204" t="s">
        <v>43</v>
      </c>
      <c r="B134" s="222"/>
      <c r="C134" s="519"/>
      <c r="D134" s="519"/>
      <c r="E134" s="519"/>
      <c r="F134" s="519"/>
      <c r="G134" s="519"/>
      <c r="H134" s="519"/>
      <c r="I134" s="519"/>
      <c r="J134" s="519"/>
      <c r="K134" s="519"/>
      <c r="L134" s="519"/>
      <c r="M134" s="519"/>
      <c r="N134" s="519"/>
      <c r="O134" s="1615"/>
      <c r="P134" s="519"/>
      <c r="Q134" s="1615"/>
      <c r="R134" s="519"/>
      <c r="S134" s="519"/>
      <c r="T134" s="519"/>
      <c r="U134" s="519"/>
      <c r="V134" s="519"/>
      <c r="W134" s="519"/>
      <c r="X134" s="519"/>
      <c r="Y134" s="519"/>
      <c r="Z134" s="519"/>
      <c r="AA134" s="520"/>
      <c r="AB134" s="1615"/>
      <c r="AC134" s="1615"/>
      <c r="AD134" s="3273"/>
      <c r="AE134" s="1615"/>
      <c r="AF134" s="1615"/>
      <c r="AG134" s="1615"/>
      <c r="AH134" s="883"/>
      <c r="AI134" s="3063"/>
      <c r="AJ134" s="879"/>
    </row>
    <row r="135" spans="1:44" ht="16.5" customHeight="1">
      <c r="A135" s="204" t="s">
        <v>44</v>
      </c>
      <c r="B135" s="222"/>
      <c r="C135" s="522">
        <f>ROUND(SUM(C109-C132),1)</f>
        <v>6186.5</v>
      </c>
      <c r="D135" s="523"/>
      <c r="E135" s="522">
        <f>ROUND(SUM(E109-E132),1)</f>
        <v>14885.7</v>
      </c>
      <c r="F135" s="523"/>
      <c r="G135" s="522">
        <f>ROUND(SUM(G109-G132),1)</f>
        <v>1475.7</v>
      </c>
      <c r="H135" s="523"/>
      <c r="I135" s="522">
        <f>ROUND(SUM(I109-I132),1)</f>
        <v>472.9</v>
      </c>
      <c r="J135" s="523"/>
      <c r="K135" s="522">
        <f>ROUND(SUM(K109-K132),1)</f>
        <v>-30</v>
      </c>
      <c r="L135" s="523"/>
      <c r="M135" s="522">
        <f>ROUND(SUM(M109-M132),1)</f>
        <v>1902.7</v>
      </c>
      <c r="N135" s="523"/>
      <c r="O135" s="2147">
        <f>ROUND(SUM(O109-O132),1)</f>
        <v>-539.9</v>
      </c>
      <c r="P135" s="523"/>
      <c r="Q135" s="2147">
        <f>ROUND(SUM(Q109-Q132),1)</f>
        <v>-1058.7</v>
      </c>
      <c r="R135" s="523"/>
      <c r="S135" s="522">
        <f>ROUND(SUM(S109-S132),1)</f>
        <v>14581</v>
      </c>
      <c r="T135" s="523"/>
      <c r="U135" s="522">
        <f>ROUND(SUM(U109-U132),1)</f>
        <v>6742.2</v>
      </c>
      <c r="V135" s="523"/>
      <c r="W135" s="522">
        <f>ROUND(SUM(W109-W132),1)</f>
        <v>0</v>
      </c>
      <c r="X135" s="523"/>
      <c r="Y135" s="522">
        <f>ROUND(SUM(Y109-Y132),1)</f>
        <v>0</v>
      </c>
      <c r="Z135" s="523"/>
      <c r="AA135" s="524"/>
      <c r="AB135" s="2147">
        <f>ROUND(SUM(AB109-AB132),1)</f>
        <v>44618.1</v>
      </c>
      <c r="AC135" s="3071"/>
      <c r="AD135" s="3280"/>
      <c r="AE135" s="2147">
        <f>ROUND(SUM(AE109-AE132),1)</f>
        <v>21499.4</v>
      </c>
      <c r="AF135" s="3071"/>
      <c r="AG135" s="3071"/>
      <c r="AH135" s="3282">
        <f>ROUND(SUM(AB135-AE135),1)</f>
        <v>23118.7</v>
      </c>
      <c r="AI135" s="3064"/>
      <c r="AJ135" s="3283">
        <f>ROUND(IF(AE135=0,0,AH135/ABS(AE135)),3)</f>
        <v>1.075</v>
      </c>
      <c r="AK135" s="3263"/>
    </row>
    <row r="136" spans="1:44" ht="16.5" customHeight="1">
      <c r="A136" s="162"/>
      <c r="B136" s="222"/>
      <c r="C136" s="525"/>
      <c r="D136" s="519"/>
      <c r="E136" s="3074"/>
      <c r="F136" s="519"/>
      <c r="G136" s="525"/>
      <c r="H136" s="519"/>
      <c r="I136" s="525"/>
      <c r="J136" s="519"/>
      <c r="K136" s="525"/>
      <c r="L136" s="519"/>
      <c r="M136" s="525"/>
      <c r="N136" s="519"/>
      <c r="O136" s="3074"/>
      <c r="P136" s="519"/>
      <c r="Q136" s="3074"/>
      <c r="R136" s="519"/>
      <c r="S136" s="525"/>
      <c r="T136" s="519"/>
      <c r="U136" s="525"/>
      <c r="V136" s="519"/>
      <c r="W136" s="3074"/>
      <c r="X136" s="519"/>
      <c r="Y136" s="525"/>
      <c r="Z136" s="527"/>
      <c r="AA136" s="520"/>
      <c r="AB136" s="3074"/>
      <c r="AC136" s="1615"/>
      <c r="AD136" s="3273"/>
      <c r="AE136" s="3074"/>
      <c r="AF136" s="1615"/>
      <c r="AG136" s="1615"/>
      <c r="AH136" s="883"/>
      <c r="AI136" s="3063"/>
      <c r="AJ136" s="879"/>
    </row>
    <row r="137" spans="1:44" ht="16.5" customHeight="1">
      <c r="A137" s="204" t="s">
        <v>45</v>
      </c>
      <c r="B137" s="222"/>
      <c r="C137" s="2146"/>
      <c r="D137" s="519"/>
      <c r="E137" s="2146"/>
      <c r="F137" s="531"/>
      <c r="G137" s="2146"/>
      <c r="H137" s="531"/>
      <c r="I137" s="530"/>
      <c r="J137" s="531"/>
      <c r="K137" s="530"/>
      <c r="L137" s="531"/>
      <c r="M137" s="530"/>
      <c r="N137" s="531"/>
      <c r="O137" s="3352"/>
      <c r="P137" s="2139"/>
      <c r="Q137" s="3352"/>
      <c r="R137" s="2139"/>
      <c r="S137" s="3352"/>
      <c r="T137" s="2139"/>
      <c r="U137" s="3352"/>
      <c r="V137" s="1615"/>
      <c r="W137" s="3352"/>
      <c r="X137" s="1615"/>
      <c r="Y137" s="3352"/>
      <c r="Z137" s="3075"/>
      <c r="AA137" s="3385"/>
      <c r="AB137" s="2146"/>
      <c r="AC137" s="3075"/>
      <c r="AD137" s="1615"/>
      <c r="AE137" s="2146"/>
      <c r="AF137" s="1615"/>
      <c r="AG137" s="1615"/>
      <c r="AH137" s="883"/>
      <c r="AI137" s="3063"/>
      <c r="AJ137" s="879"/>
    </row>
    <row r="138" spans="1:44" ht="16.5" customHeight="1">
      <c r="A138" s="222" t="s">
        <v>1352</v>
      </c>
      <c r="B138" s="222"/>
      <c r="C138" s="2138">
        <v>0</v>
      </c>
      <c r="D138" s="1615"/>
      <c r="E138" s="2138">
        <v>0</v>
      </c>
      <c r="F138" s="2139"/>
      <c r="G138" s="2138">
        <v>0</v>
      </c>
      <c r="H138" s="2139"/>
      <c r="I138" s="2138">
        <v>0</v>
      </c>
      <c r="J138" s="2139"/>
      <c r="K138" s="2138">
        <v>0</v>
      </c>
      <c r="L138" s="2139"/>
      <c r="M138" s="2138">
        <v>0</v>
      </c>
      <c r="N138" s="2139"/>
      <c r="O138" s="2138">
        <v>0</v>
      </c>
      <c r="P138" s="2139"/>
      <c r="Q138" s="2138">
        <v>0</v>
      </c>
      <c r="R138" s="2139"/>
      <c r="S138" s="2138">
        <v>0</v>
      </c>
      <c r="T138" s="2139"/>
      <c r="U138" s="2138">
        <f>'Exhibit A'!X48</f>
        <v>0</v>
      </c>
      <c r="V138" s="1615"/>
      <c r="W138" s="2138"/>
      <c r="X138" s="1615"/>
      <c r="Y138" s="2138"/>
      <c r="Z138" s="1615"/>
      <c r="AA138" s="3385"/>
      <c r="AB138" s="1615">
        <f>ROUND(SUM(C138:Y138),1)</f>
        <v>0</v>
      </c>
      <c r="AC138" s="1615"/>
      <c r="AD138" s="3273"/>
      <c r="AE138" s="1615">
        <f>+'Exhibit A'!AD48</f>
        <v>0</v>
      </c>
      <c r="AF138" s="1615"/>
      <c r="AG138" s="1615"/>
      <c r="AH138" s="1615">
        <f>ROUND(SUM(AB138-AE138),1)</f>
        <v>0</v>
      </c>
      <c r="AI138" s="3284"/>
      <c r="AJ138" s="1703">
        <f>ROUND(IF(AE138=0,0,AH138/ABS(AE138)),3)</f>
        <v>0</v>
      </c>
    </row>
    <row r="139" spans="1:44" ht="16.5" customHeight="1">
      <c r="A139" s="222" t="s">
        <v>46</v>
      </c>
      <c r="B139" s="222"/>
      <c r="C139" s="2138">
        <v>5344.8</v>
      </c>
      <c r="D139" s="1615"/>
      <c r="E139" s="2138">
        <v>6200.6</v>
      </c>
      <c r="F139" s="1615"/>
      <c r="G139" s="2138">
        <v>6454.2</v>
      </c>
      <c r="H139" s="1615"/>
      <c r="I139" s="2138">
        <v>3531.7</v>
      </c>
      <c r="J139" s="1615"/>
      <c r="K139" s="2138">
        <v>3037.4</v>
      </c>
      <c r="L139" s="1615"/>
      <c r="M139" s="2138">
        <v>5770.3</v>
      </c>
      <c r="N139" s="1615"/>
      <c r="O139" s="2138">
        <v>3450.8</v>
      </c>
      <c r="P139" s="1615"/>
      <c r="Q139" s="2138">
        <v>3625.2</v>
      </c>
      <c r="R139" s="1615"/>
      <c r="S139" s="2138">
        <v>10583.2</v>
      </c>
      <c r="T139" s="1615"/>
      <c r="U139" s="2138">
        <f>'Exhibit A'!V49</f>
        <v>2192.6</v>
      </c>
      <c r="V139" s="1615"/>
      <c r="W139" s="2138"/>
      <c r="X139" s="1615"/>
      <c r="Y139" s="2138"/>
      <c r="Z139" s="1615"/>
      <c r="AA139" s="3385"/>
      <c r="AB139" s="1615">
        <f>ROUND(SUM(C139:Y139),1)</f>
        <v>50190.8</v>
      </c>
      <c r="AC139" s="1615"/>
      <c r="AD139" s="3385"/>
      <c r="AE139" s="1615">
        <f>+'Exhibit A'!AD49</f>
        <v>28623.4</v>
      </c>
      <c r="AF139" s="1615"/>
      <c r="AG139" s="1615"/>
      <c r="AH139" s="1615">
        <f>ROUND(SUM(AB139-AE139),1)</f>
        <v>21567.4</v>
      </c>
      <c r="AI139" s="3063"/>
      <c r="AJ139" s="1703">
        <f>ROUND(IF(AE139=0,0,AH139/ABS(AE139)),3)</f>
        <v>0.753</v>
      </c>
    </row>
    <row r="140" spans="1:44" ht="16.5" customHeight="1">
      <c r="A140" s="222" t="s">
        <v>47</v>
      </c>
      <c r="C140" s="2138">
        <v>-5350.2</v>
      </c>
      <c r="D140" s="52"/>
      <c r="E140" s="3469">
        <v>-6203.3</v>
      </c>
      <c r="F140" s="275"/>
      <c r="G140" s="3469">
        <v>-6488.7</v>
      </c>
      <c r="H140" s="275"/>
      <c r="I140" s="3469">
        <v>-3539</v>
      </c>
      <c r="J140" s="275"/>
      <c r="K140" s="3469">
        <v>-3056.6</v>
      </c>
      <c r="L140" s="275"/>
      <c r="M140" s="3469">
        <v>-5775</v>
      </c>
      <c r="N140" s="275"/>
      <c r="O140" s="3469">
        <v>-3453.7</v>
      </c>
      <c r="P140" s="275"/>
      <c r="Q140" s="3469">
        <v>-3627.1</v>
      </c>
      <c r="R140" s="275"/>
      <c r="S140" s="3469">
        <v>-10588.3</v>
      </c>
      <c r="T140" s="275"/>
      <c r="U140" s="3469">
        <f>'Exhibit A'!V50</f>
        <v>-2195.6</v>
      </c>
      <c r="V140" s="275"/>
      <c r="W140" s="3469"/>
      <c r="X140" s="275"/>
      <c r="Y140" s="3469"/>
      <c r="Z140" s="275"/>
      <c r="AA140" s="3285"/>
      <c r="AB140" s="3073">
        <f>ROUND(SUM(C140:Y140),1)</f>
        <v>-50277.5</v>
      </c>
      <c r="AC140" s="275"/>
      <c r="AD140" s="3285"/>
      <c r="AE140" s="3073">
        <f>+'Exhibit A'!AD50</f>
        <v>-28835.7</v>
      </c>
      <c r="AF140" s="275"/>
      <c r="AG140" s="275"/>
      <c r="AH140" s="3073">
        <f>ROUND(SUM(-AB140+AE140),1)</f>
        <v>21441.8</v>
      </c>
      <c r="AI140" s="879"/>
      <c r="AJ140" s="1791">
        <f>ROUND(IF(AE140=0,0,AH140/ABS(AE140)),3)</f>
        <v>0.74399999999999999</v>
      </c>
      <c r="AK140" s="3286"/>
    </row>
    <row r="141" spans="1:44" ht="16.5" customHeight="1">
      <c r="A141" s="222"/>
      <c r="C141" s="3796"/>
      <c r="D141" s="52"/>
      <c r="E141" s="2146"/>
      <c r="F141" s="52"/>
      <c r="G141" s="526"/>
      <c r="H141" s="52"/>
      <c r="I141" s="526"/>
      <c r="J141" s="52"/>
      <c r="K141" s="526"/>
      <c r="L141" s="52"/>
      <c r="M141" s="526"/>
      <c r="N141" s="52"/>
      <c r="O141" s="2146"/>
      <c r="P141" s="275"/>
      <c r="Q141" s="2146"/>
      <c r="R141" s="275"/>
      <c r="S141" s="2146"/>
      <c r="T141" s="275"/>
      <c r="U141" s="2146"/>
      <c r="V141" s="275"/>
      <c r="W141" s="2146"/>
      <c r="X141" s="275"/>
      <c r="Y141" s="2146"/>
      <c r="Z141" s="275"/>
      <c r="AA141" s="3285"/>
      <c r="AB141" s="2146"/>
      <c r="AC141" s="275"/>
      <c r="AD141" s="3285"/>
      <c r="AE141" s="2146"/>
      <c r="AF141" s="275"/>
      <c r="AG141" s="275"/>
      <c r="AH141" s="2146"/>
      <c r="AI141" s="879"/>
      <c r="AJ141" s="3281"/>
    </row>
    <row r="142" spans="1:44" ht="16.5" customHeight="1">
      <c r="A142" s="204" t="s">
        <v>48</v>
      </c>
      <c r="C142" s="2147">
        <f>ROUND(SUM(C138:C140),1)</f>
        <v>-5.4</v>
      </c>
      <c r="D142" s="533"/>
      <c r="E142" s="522">
        <f>ROUND(SUM(E138:E140),1)</f>
        <v>-2.7</v>
      </c>
      <c r="F142" s="533"/>
      <c r="G142" s="522">
        <f>ROUND(SUM(G138:G140),1)</f>
        <v>-34.5</v>
      </c>
      <c r="H142" s="533"/>
      <c r="I142" s="522">
        <f>ROUND(SUM(I138:I140),1)</f>
        <v>-7.3</v>
      </c>
      <c r="J142" s="533"/>
      <c r="K142" s="522">
        <f>ROUND(SUM(K138:K140),1)</f>
        <v>-19.2</v>
      </c>
      <c r="L142" s="533"/>
      <c r="M142" s="522">
        <f>ROUND(SUM(M138:M140),1)</f>
        <v>-4.7</v>
      </c>
      <c r="N142" s="533"/>
      <c r="O142" s="2147">
        <f>ROUND(SUM(O138:O140),1)</f>
        <v>-2.9</v>
      </c>
      <c r="P142" s="3078"/>
      <c r="Q142" s="2147">
        <f>ROUND(SUM(Q138:Q140),1)</f>
        <v>-1.9</v>
      </c>
      <c r="R142" s="3078"/>
      <c r="S142" s="2147">
        <f>ROUND(SUM(S138:S140),1)</f>
        <v>-5.0999999999999996</v>
      </c>
      <c r="T142" s="3078"/>
      <c r="U142" s="2147">
        <f>ROUND(SUM(U138:U140),1)</f>
        <v>-3</v>
      </c>
      <c r="V142" s="3078"/>
      <c r="W142" s="2147">
        <f>ROUND(SUM(W138:W140),1)</f>
        <v>0</v>
      </c>
      <c r="X142" s="3078"/>
      <c r="Y142" s="2147">
        <f>ROUND(SUM(Y138:Y140),1)</f>
        <v>0</v>
      </c>
      <c r="Z142" s="3078"/>
      <c r="AA142" s="3287"/>
      <c r="AB142" s="2147">
        <f>ROUND(SUM(AB138:AB141),1)</f>
        <v>-86.7</v>
      </c>
      <c r="AC142" s="3078"/>
      <c r="AD142" s="3287"/>
      <c r="AE142" s="2147">
        <f>SUM(AE138:AE141)</f>
        <v>-212.29999999999927</v>
      </c>
      <c r="AF142" s="3078"/>
      <c r="AG142" s="3078"/>
      <c r="AH142" s="2147">
        <f>ROUND(SUM(+AH139-AH140+AH138),1)</f>
        <v>125.6</v>
      </c>
      <c r="AI142" s="252"/>
      <c r="AJ142" s="3283">
        <f>ROUND(IF(AE142=0,0,AH142/ABS(AE142)),3)</f>
        <v>0.59199999999999997</v>
      </c>
      <c r="AK142" s="3263"/>
    </row>
    <row r="143" spans="1:44" ht="16.5" customHeight="1">
      <c r="A143" s="162"/>
      <c r="C143" s="52"/>
      <c r="D143" s="52"/>
      <c r="E143" s="52"/>
      <c r="F143" s="52"/>
      <c r="G143" s="52"/>
      <c r="H143" s="52"/>
      <c r="I143" s="52"/>
      <c r="J143" s="52"/>
      <c r="K143" s="52"/>
      <c r="L143" s="52"/>
      <c r="M143" s="52"/>
      <c r="N143" s="52"/>
      <c r="O143" s="275"/>
      <c r="P143" s="52"/>
      <c r="Q143" s="275"/>
      <c r="R143" s="52"/>
      <c r="S143" s="52"/>
      <c r="T143" s="52"/>
      <c r="U143" s="52"/>
      <c r="V143" s="52"/>
      <c r="W143" s="52"/>
      <c r="X143" s="52"/>
      <c r="Y143" s="52"/>
      <c r="Z143" s="52"/>
      <c r="AA143" s="532"/>
      <c r="AB143" s="275"/>
      <c r="AC143" s="275"/>
      <c r="AD143" s="3285"/>
      <c r="AE143" s="275"/>
      <c r="AF143" s="275"/>
      <c r="AG143" s="275"/>
      <c r="AH143" s="883"/>
      <c r="AI143" s="879"/>
      <c r="AJ143" s="879"/>
    </row>
    <row r="144" spans="1:44" ht="16.5" customHeight="1">
      <c r="A144" s="252" t="s">
        <v>43</v>
      </c>
      <c r="C144" s="526"/>
      <c r="D144" s="52"/>
      <c r="E144" s="526"/>
      <c r="F144" s="52"/>
      <c r="G144" s="526"/>
      <c r="H144" s="52"/>
      <c r="I144" s="526"/>
      <c r="J144" s="52"/>
      <c r="K144" s="526"/>
      <c r="L144" s="52"/>
      <c r="M144" s="526"/>
      <c r="N144" s="52"/>
      <c r="O144" s="2146"/>
      <c r="P144" s="52"/>
      <c r="Q144" s="2146"/>
      <c r="R144" s="52"/>
      <c r="S144" s="526"/>
      <c r="T144" s="52"/>
      <c r="U144" s="526"/>
      <c r="V144" s="52"/>
      <c r="W144" s="526"/>
      <c r="X144" s="52"/>
      <c r="Y144" s="526"/>
      <c r="Z144" s="52"/>
      <c r="AA144" s="532"/>
      <c r="AB144" s="2146"/>
      <c r="AC144" s="275"/>
      <c r="AD144" s="3285"/>
      <c r="AE144" s="2146"/>
      <c r="AF144" s="275"/>
      <c r="AG144" s="275"/>
      <c r="AH144" s="883"/>
      <c r="AI144" s="879"/>
      <c r="AJ144" s="879"/>
    </row>
    <row r="145" spans="1:59" ht="16.5" customHeight="1">
      <c r="A145" s="252" t="s">
        <v>49</v>
      </c>
      <c r="C145" s="523"/>
      <c r="D145" s="533"/>
      <c r="E145" s="523"/>
      <c r="F145" s="533"/>
      <c r="G145" s="523"/>
      <c r="H145" s="533"/>
      <c r="I145" s="523"/>
      <c r="J145" s="533"/>
      <c r="K145" s="523"/>
      <c r="L145" s="533"/>
      <c r="M145" s="523"/>
      <c r="N145" s="533"/>
      <c r="O145" s="3071"/>
      <c r="P145" s="533"/>
      <c r="Q145" s="3071"/>
      <c r="R145" s="533"/>
      <c r="S145" s="523"/>
      <c r="T145" s="533"/>
      <c r="U145" s="523"/>
      <c r="V145" s="533"/>
      <c r="W145" s="523"/>
      <c r="X145" s="533"/>
      <c r="Y145" s="523"/>
      <c r="Z145" s="533"/>
      <c r="AA145" s="534"/>
      <c r="AB145" s="3071"/>
      <c r="AC145" s="3078"/>
      <c r="AD145" s="3287"/>
      <c r="AE145" s="3071"/>
      <c r="AF145" s="275"/>
      <c r="AG145" s="275"/>
      <c r="AH145" s="109"/>
      <c r="AI145" s="252"/>
      <c r="AJ145" s="252"/>
      <c r="AK145" s="3263"/>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row>
    <row r="146" spans="1:59" ht="16.5" customHeight="1">
      <c r="A146" s="252" t="s">
        <v>50</v>
      </c>
      <c r="C146" s="535">
        <f>ROUND(SUM(C135+C142),1)</f>
        <v>6181.1</v>
      </c>
      <c r="D146" s="533"/>
      <c r="E146" s="535">
        <f>ROUND(SUM(E135+E142),1)</f>
        <v>14883</v>
      </c>
      <c r="F146" s="533"/>
      <c r="G146" s="535">
        <f>ROUND(SUM(G135+G142),1)</f>
        <v>1441.2</v>
      </c>
      <c r="H146" s="533"/>
      <c r="I146" s="535">
        <f>ROUND(SUM(I135+I142),1)</f>
        <v>465.6</v>
      </c>
      <c r="J146" s="533"/>
      <c r="K146" s="535">
        <f>ROUND(SUM(K135+K142),1)</f>
        <v>-49.2</v>
      </c>
      <c r="L146" s="533"/>
      <c r="M146" s="535">
        <f>ROUND(SUM(M135+M142),1)</f>
        <v>1898</v>
      </c>
      <c r="N146" s="533"/>
      <c r="O146" s="3079">
        <f>ROUND(SUM(O135+O142),1)</f>
        <v>-542.79999999999995</v>
      </c>
      <c r="P146" s="533"/>
      <c r="Q146" s="3079">
        <f>ROUND(SUM(Q135+Q142),1)</f>
        <v>-1060.5999999999999</v>
      </c>
      <c r="R146" s="533"/>
      <c r="S146" s="535">
        <f>ROUND(SUM(S135+S142),1)</f>
        <v>14575.9</v>
      </c>
      <c r="T146" s="533"/>
      <c r="U146" s="535">
        <f>ROUND(SUM(U135+U142),1)</f>
        <v>6739.2</v>
      </c>
      <c r="V146" s="533"/>
      <c r="W146" s="535">
        <f>ROUND(SUM(W135+W142),1)</f>
        <v>0</v>
      </c>
      <c r="X146" s="533"/>
      <c r="Y146" s="535">
        <f>ROUND(SUM(Y135+Y142),1)</f>
        <v>0</v>
      </c>
      <c r="Z146" s="533"/>
      <c r="AA146" s="534"/>
      <c r="AB146" s="3079">
        <f>ROUND(SUM(AB135+AB142),1)</f>
        <v>44531.4</v>
      </c>
      <c r="AC146" s="3078"/>
      <c r="AD146" s="3287"/>
      <c r="AE146" s="3079">
        <f>AE135+AE142</f>
        <v>21287.100000000002</v>
      </c>
      <c r="AF146" s="275"/>
      <c r="AG146" s="275"/>
      <c r="AH146" s="3282">
        <f>ROUND(SUM(AB146-AE146),1)</f>
        <v>23244.3</v>
      </c>
      <c r="AI146" s="252"/>
      <c r="AJ146" s="3283">
        <f>ROUND(IF(AE146=0,0,AH146/ABS(AE146)),3)</f>
        <v>1.0920000000000001</v>
      </c>
      <c r="AK146" s="3263"/>
      <c r="AM146" s="425"/>
      <c r="AN146" s="425"/>
      <c r="AO146" s="425"/>
      <c r="AP146" s="425"/>
      <c r="AQ146" s="425"/>
      <c r="AR146" s="425"/>
      <c r="AS146" s="425"/>
      <c r="AT146" s="425"/>
      <c r="AU146" s="425"/>
      <c r="AV146" s="425"/>
      <c r="AW146" s="425"/>
      <c r="AX146" s="425"/>
      <c r="AY146" s="425"/>
      <c r="AZ146" s="425"/>
      <c r="BA146" s="425"/>
      <c r="BB146" s="425"/>
      <c r="BC146" s="425"/>
      <c r="BD146" s="425"/>
      <c r="BE146" s="425"/>
      <c r="BF146" s="425"/>
      <c r="BG146" s="425"/>
    </row>
    <row r="147" spans="1:59" ht="16.5" customHeight="1">
      <c r="A147" s="204"/>
      <c r="C147" s="514"/>
      <c r="E147" s="514"/>
      <c r="G147" s="514"/>
      <c r="I147" s="514"/>
      <c r="K147" s="514"/>
      <c r="M147" s="514"/>
      <c r="O147" s="3067"/>
      <c r="Q147" s="3067"/>
      <c r="S147" s="514"/>
      <c r="U147" s="514"/>
      <c r="W147" s="514"/>
      <c r="Y147" s="514"/>
      <c r="AA147" s="536"/>
      <c r="AB147" s="3067"/>
      <c r="AD147" s="3288"/>
      <c r="AE147" s="3067"/>
      <c r="AF147" s="275"/>
      <c r="AG147" s="275"/>
      <c r="AH147" s="879"/>
      <c r="AI147" s="879"/>
      <c r="AJ147" s="879"/>
    </row>
    <row r="148" spans="1:59" ht="16.5" customHeight="1" thickBot="1">
      <c r="A148" s="537" t="s">
        <v>140</v>
      </c>
      <c r="C148" s="538">
        <f>ROUND(SUM(C16+C146),1)</f>
        <v>24932.2</v>
      </c>
      <c r="D148" s="248"/>
      <c r="E148" s="538">
        <f>ROUND(SUM(E16+E146),1)</f>
        <v>39815.199999999997</v>
      </c>
      <c r="F148" s="248"/>
      <c r="G148" s="538">
        <f>ROUND(SUM(G16+G146),1)</f>
        <v>41256.400000000001</v>
      </c>
      <c r="H148" s="248"/>
      <c r="I148" s="538">
        <f>ROUND(SUM(I16+I146),1)</f>
        <v>41722</v>
      </c>
      <c r="J148" s="539"/>
      <c r="K148" s="538">
        <f>ROUND(SUM(K16+K146),1)</f>
        <v>41672.800000000003</v>
      </c>
      <c r="L148" s="539"/>
      <c r="M148" s="538">
        <f>ROUND(SUM(M16+M146),1)</f>
        <v>43570.8</v>
      </c>
      <c r="N148" s="539"/>
      <c r="O148" s="3080">
        <f>ROUND(SUM(O16+O146),1)</f>
        <v>43028</v>
      </c>
      <c r="P148" s="539"/>
      <c r="Q148" s="3080">
        <f>ROUND(SUM(Q16+Q146),1)</f>
        <v>41967.4</v>
      </c>
      <c r="R148" s="539"/>
      <c r="S148" s="538">
        <f>ROUND(SUM(S16+S146),1)</f>
        <v>56543.3</v>
      </c>
      <c r="T148" s="539"/>
      <c r="U148" s="538">
        <f>ROUND(SUM(U16+U146),1)</f>
        <v>63282.5</v>
      </c>
      <c r="V148" s="539"/>
      <c r="W148" s="538">
        <f>ROUND(SUM(W16+W146),1)</f>
        <v>0</v>
      </c>
      <c r="X148" s="539"/>
      <c r="Y148" s="538">
        <f>ROUND(SUM(Y16+Y146),1)</f>
        <v>0</v>
      </c>
      <c r="Z148" s="248"/>
      <c r="AA148" s="540"/>
      <c r="AB148" s="3080">
        <f>ROUND(SUM(AB16+AB146),1)</f>
        <v>63282.5</v>
      </c>
      <c r="AC148" s="3081"/>
      <c r="AD148" s="3289"/>
      <c r="AE148" s="3080">
        <f>AE16+AE146</f>
        <v>35571.9</v>
      </c>
      <c r="AF148" s="275"/>
      <c r="AG148" s="275"/>
      <c r="AH148" s="3080">
        <f>ROUND(SUM(AB148-AE148),1)</f>
        <v>27710.6</v>
      </c>
      <c r="AI148" s="252"/>
      <c r="AJ148" s="3290">
        <f>ROUND(IF(AE148=0,0,AH148/ABS(AE148)),3)</f>
        <v>0.77900000000000003</v>
      </c>
      <c r="AK148" s="3263"/>
    </row>
    <row r="149" spans="1:59" ht="16.5" customHeight="1" thickTop="1">
      <c r="A149" s="541"/>
      <c r="C149" s="210"/>
      <c r="AH149" s="879"/>
      <c r="AI149" s="879"/>
      <c r="AJ149" s="879"/>
    </row>
    <row r="150" spans="1:59" ht="16.5" customHeight="1">
      <c r="A150" s="353" t="s">
        <v>141</v>
      </c>
      <c r="AH150" s="879"/>
      <c r="AI150" s="879"/>
      <c r="AJ150" s="879"/>
    </row>
    <row r="151" spans="1:59" ht="16.5" customHeight="1">
      <c r="A151" s="2707" t="s">
        <v>1549</v>
      </c>
      <c r="AH151" s="879"/>
      <c r="AI151" s="879"/>
      <c r="AJ151" s="879"/>
    </row>
    <row r="152" spans="1:59" ht="16.5" customHeight="1">
      <c r="A152" s="27"/>
      <c r="AH152" s="879"/>
      <c r="AI152" s="879"/>
      <c r="AJ152" s="879"/>
    </row>
    <row r="153" spans="1:59" ht="16.5" customHeight="1">
      <c r="A153" s="27"/>
      <c r="AH153" s="879"/>
      <c r="AI153" s="879"/>
      <c r="AJ153" s="879"/>
    </row>
    <row r="154" spans="1:59" ht="16.5" customHeight="1">
      <c r="AH154" s="879"/>
      <c r="AI154" s="879"/>
      <c r="AJ154" s="879"/>
    </row>
    <row r="155" spans="1:59" ht="16.5" customHeight="1">
      <c r="AH155" s="879"/>
      <c r="AI155" s="879"/>
      <c r="AJ155" s="879"/>
    </row>
    <row r="156" spans="1:59" ht="16.5" customHeight="1">
      <c r="AH156" s="879"/>
      <c r="AI156" s="879"/>
      <c r="AJ156" s="879"/>
    </row>
    <row r="157" spans="1:59" ht="16.5" customHeight="1">
      <c r="AH157" s="879"/>
      <c r="AI157" s="879"/>
      <c r="AJ157" s="879"/>
    </row>
    <row r="158" spans="1:59" ht="16.5" customHeight="1">
      <c r="AH158" s="879"/>
      <c r="AI158" s="879"/>
      <c r="AJ158" s="879"/>
    </row>
    <row r="159" spans="1:59" ht="16.5" customHeight="1">
      <c r="AH159" s="879"/>
      <c r="AI159" s="879"/>
      <c r="AJ159" s="879"/>
    </row>
    <row r="160" spans="1:59" ht="16.5" customHeight="1">
      <c r="AH160" s="879"/>
      <c r="AI160" s="879"/>
      <c r="AJ160" s="879"/>
    </row>
    <row r="161" spans="34:36" ht="16.5" customHeight="1">
      <c r="AH161" s="879"/>
      <c r="AI161" s="879"/>
      <c r="AJ161" s="879"/>
    </row>
    <row r="162" spans="34:36" ht="16.5" customHeight="1">
      <c r="AH162" s="879"/>
      <c r="AI162" s="879"/>
      <c r="AJ162" s="879"/>
    </row>
  </sheetData>
  <mergeCells count="2">
    <mergeCell ref="AC5:AJ5"/>
    <mergeCell ref="AB12:AJ12"/>
  </mergeCells>
  <pageMargins left="0.25" right="0.25" top="0.5" bottom="0.4" header="0" footer="0.25"/>
  <pageSetup scale="36" firstPageNumber="17" fitToHeight="2" orientation="landscape" useFirstPageNumber="1" r:id="rId1"/>
  <headerFooter scaleWithDoc="0" alignWithMargins="0">
    <oddFooter>&amp;C&amp;8&amp;P</oddFooter>
  </headerFooter>
  <rowBreaks count="1" manualBreakCount="1">
    <brk id="90" max="35" man="1"/>
  </rowBreaks>
  <ignoredErrors>
    <ignoredError sqref="AJ57:AJ71 AJ73:AJ74 AJ139:AJ148 AJ89:AJ90 AJ96:AJ137 AJ29:AJ34 AJ21:AJ27 AJ41:AJ45 AJ36:AJ38 AJ86 AJ48:AJ54 AJ76:AJ79 AJ91:AJ93 AJ39:AJ40 AJ84" unlockedFormula="1"/>
    <ignoredError sqref="AH35:AI35 AH95:AI95 AJ56 AJ47 AH25 AH24 AH26:AH27"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80" workbookViewId="0"/>
  </sheetViews>
  <sheetFormatPr defaultColWidth="8.81640625" defaultRowHeight="16.5" customHeight="1"/>
  <cols>
    <col min="1" max="1" width="43" style="2707" customWidth="1"/>
    <col min="2" max="2" width="1.81640625" style="2707" customWidth="1"/>
    <col min="3" max="3" width="13.08984375" style="2707" customWidth="1"/>
    <col min="4" max="4" width="1.81640625" style="2707" customWidth="1"/>
    <col min="5" max="5" width="13.08984375" style="2707" customWidth="1"/>
    <col min="6" max="6" width="1.81640625" style="2707" customWidth="1"/>
    <col min="7" max="7" width="13.54296875" style="2707" customWidth="1"/>
    <col min="8" max="8" width="1.81640625" style="2707" customWidth="1"/>
    <col min="9" max="9" width="13.81640625" style="2707" customWidth="1"/>
    <col min="10" max="10" width="1.81640625" style="2707" customWidth="1"/>
    <col min="11" max="11" width="14.54296875" style="2707" customWidth="1"/>
    <col min="12" max="12" width="1.81640625" style="2707" customWidth="1"/>
    <col min="13" max="13" width="13.08984375" style="2707" customWidth="1"/>
    <col min="14" max="14" width="1.81640625" style="2707" customWidth="1"/>
    <col min="15" max="15" width="14.08984375" style="1969" customWidth="1"/>
    <col min="16" max="16" width="1.81640625" style="2707" customWidth="1"/>
    <col min="17" max="17" width="13.08984375" style="2707" customWidth="1"/>
    <col min="18" max="18" width="1.81640625" style="2707" customWidth="1"/>
    <col min="19" max="19" width="13.81640625" style="2707" customWidth="1"/>
    <col min="20" max="20" width="1.81640625" style="2707" customWidth="1"/>
    <col min="21" max="21" width="13" style="2707" customWidth="1"/>
    <col min="22" max="22" width="1.81640625" style="2707" customWidth="1"/>
    <col min="23" max="23" width="13.08984375" style="2707" customWidth="1"/>
    <col min="24" max="24" width="1.81640625" style="2707" customWidth="1"/>
    <col min="25" max="25" width="13.08984375" style="2707" customWidth="1"/>
    <col min="26" max="27" width="1.81640625" style="2707" customWidth="1"/>
    <col min="28" max="28" width="15" style="1969" customWidth="1"/>
    <col min="29" max="30" width="1.81640625" style="1969" customWidth="1"/>
    <col min="31" max="31" width="13.81640625" style="1969" customWidth="1"/>
    <col min="32" max="33" width="1.81640625" style="1969" customWidth="1"/>
    <col min="34" max="34" width="12.81640625" style="1969" bestFit="1" customWidth="1"/>
    <col min="35" max="35" width="1" style="1969" customWidth="1"/>
    <col min="36" max="36" width="12.08984375" style="1969" bestFit="1" customWidth="1"/>
    <col min="37" max="16384" width="8.81640625" style="2707"/>
  </cols>
  <sheetData>
    <row r="1" spans="1:37" ht="15">
      <c r="A1" s="2706" t="s">
        <v>881</v>
      </c>
    </row>
    <row r="2" spans="1:37" ht="15">
      <c r="A2" s="1417"/>
    </row>
    <row r="3" spans="1:37" ht="22.8">
      <c r="A3" s="2708" t="s">
        <v>0</v>
      </c>
      <c r="B3" s="1424"/>
      <c r="C3" s="1424"/>
      <c r="D3" s="1424"/>
      <c r="E3" s="1424"/>
      <c r="F3" s="1424"/>
      <c r="G3" s="1424"/>
      <c r="H3" s="1424"/>
      <c r="I3" s="1424"/>
      <c r="J3" s="1424"/>
      <c r="K3" s="1424"/>
      <c r="L3" s="1424"/>
      <c r="M3" s="1424"/>
      <c r="N3" s="1424"/>
      <c r="O3" s="3042"/>
      <c r="P3" s="1424"/>
      <c r="Q3" s="1424"/>
      <c r="R3" s="1424"/>
      <c r="S3" s="1424"/>
      <c r="T3" s="1424"/>
      <c r="U3" s="1424"/>
      <c r="V3" s="1424"/>
      <c r="W3" s="1424"/>
      <c r="X3" s="1424"/>
      <c r="Y3" s="1424"/>
      <c r="Z3" s="1424"/>
      <c r="AA3" s="1424"/>
      <c r="AB3" s="3042"/>
      <c r="AC3" s="3042"/>
      <c r="AD3" s="3042"/>
      <c r="AE3" s="3042"/>
      <c r="AF3" s="3042"/>
      <c r="AG3" s="3042"/>
      <c r="AI3" s="3042"/>
    </row>
    <row r="4" spans="1:37" ht="22.8">
      <c r="A4" s="2708" t="s">
        <v>1070</v>
      </c>
      <c r="B4" s="1424"/>
      <c r="C4" s="1424"/>
      <c r="D4" s="1424"/>
      <c r="E4" s="1424"/>
      <c r="F4" s="1424"/>
      <c r="G4" s="1424"/>
      <c r="H4" s="1424"/>
      <c r="I4" s="1424" t="s">
        <v>14</v>
      </c>
      <c r="J4" s="1424"/>
      <c r="K4" s="1424"/>
      <c r="L4" s="1424"/>
      <c r="M4" s="1424"/>
      <c r="N4" s="1424"/>
      <c r="O4" s="3042"/>
      <c r="P4" s="1424"/>
      <c r="Q4" s="1424"/>
      <c r="R4" s="1424"/>
      <c r="S4" s="1424"/>
      <c r="T4" s="1424"/>
      <c r="U4" s="1424"/>
      <c r="V4" s="1424"/>
      <c r="W4" s="1424"/>
      <c r="X4" s="1424"/>
      <c r="Y4" s="1424" t="s">
        <v>14</v>
      </c>
      <c r="Z4" s="1424"/>
      <c r="AA4" s="1424"/>
      <c r="AB4" s="3042"/>
      <c r="AC4" s="3042"/>
      <c r="AD4" s="3042"/>
      <c r="AE4" s="3042"/>
      <c r="AF4" s="3042"/>
      <c r="AG4" s="3042"/>
      <c r="AI4" s="3042"/>
    </row>
    <row r="5" spans="1:37" ht="23.25" customHeight="1">
      <c r="A5" s="2709" t="s">
        <v>1071</v>
      </c>
      <c r="B5" s="1424"/>
      <c r="C5" s="1424"/>
      <c r="D5" s="1424"/>
      <c r="E5" s="1424"/>
      <c r="F5" s="1424"/>
      <c r="G5" s="1424"/>
      <c r="H5" s="1424"/>
      <c r="I5" s="1424"/>
      <c r="J5" s="1424"/>
      <c r="K5" s="1424"/>
      <c r="L5" s="1424"/>
      <c r="M5" s="1424"/>
      <c r="N5" s="1424"/>
      <c r="O5" s="3042"/>
      <c r="P5" s="1424"/>
      <c r="Q5" s="1424"/>
      <c r="R5" s="1424"/>
      <c r="S5" s="1424"/>
      <c r="T5" s="1424"/>
      <c r="U5" s="1424"/>
      <c r="V5" s="1424"/>
      <c r="W5" s="1424"/>
      <c r="X5" s="1424"/>
      <c r="Y5" s="1424"/>
      <c r="Z5" s="1424"/>
      <c r="AA5" s="1424"/>
      <c r="AC5" s="3973"/>
      <c r="AD5" s="3974"/>
      <c r="AE5" s="3974"/>
      <c r="AF5" s="3974"/>
      <c r="AG5" s="3974"/>
      <c r="AH5" s="3974"/>
      <c r="AI5" s="3974"/>
      <c r="AJ5" s="3974"/>
    </row>
    <row r="6" spans="1:37" ht="22.8">
      <c r="A6" s="2709" t="str">
        <f>'Cashflow Governmental'!A6</f>
        <v xml:space="preserve">FISCAL YEAR 2021-2022   </v>
      </c>
      <c r="B6" s="1424"/>
      <c r="C6" s="1424"/>
      <c r="D6" s="1424"/>
      <c r="E6" s="1424"/>
      <c r="F6" s="1424"/>
      <c r="G6" s="1424"/>
      <c r="H6" s="1424"/>
      <c r="I6" s="1424"/>
      <c r="J6" s="1424"/>
      <c r="K6" s="1424"/>
      <c r="L6" s="1424"/>
      <c r="M6" s="1424"/>
      <c r="N6" s="1424"/>
      <c r="O6" s="3042"/>
      <c r="P6" s="1424"/>
      <c r="Q6" s="1424"/>
      <c r="R6" s="1424"/>
      <c r="S6" s="1424"/>
      <c r="T6" s="1424"/>
      <c r="U6" s="1424"/>
      <c r="V6" s="1424"/>
      <c r="W6" s="1424"/>
      <c r="X6" s="1424"/>
      <c r="Y6" s="1424"/>
      <c r="Z6" s="1424"/>
      <c r="AA6" s="1424"/>
      <c r="AB6" s="3042"/>
      <c r="AC6" s="3042"/>
      <c r="AD6" s="3042"/>
      <c r="AE6" s="3042"/>
      <c r="AF6" s="3042"/>
      <c r="AG6" s="3042"/>
      <c r="AI6" s="3042"/>
    </row>
    <row r="7" spans="1:37" ht="23.25" customHeight="1">
      <c r="A7" s="2708" t="s">
        <v>1263</v>
      </c>
      <c r="B7" s="1424"/>
      <c r="C7" s="1424"/>
      <c r="D7" s="1424"/>
      <c r="E7" s="1424"/>
      <c r="F7" s="1424"/>
      <c r="G7" s="1424"/>
      <c r="H7" s="1424"/>
      <c r="I7" s="1424"/>
      <c r="J7" s="1424"/>
      <c r="K7" s="1424"/>
      <c r="L7" s="1424"/>
      <c r="M7" s="1424"/>
      <c r="N7" s="1424"/>
      <c r="O7" s="3042"/>
      <c r="P7" s="1424"/>
      <c r="Q7" s="1424"/>
      <c r="R7" s="1424"/>
      <c r="S7" s="1424"/>
      <c r="T7" s="1424"/>
      <c r="U7" s="1424"/>
      <c r="V7" s="1424"/>
      <c r="W7" s="1424"/>
      <c r="X7" s="1424"/>
      <c r="Y7" s="1424"/>
      <c r="Z7" s="1424"/>
      <c r="AA7" s="1424"/>
      <c r="AB7" s="3042"/>
      <c r="AC7" s="3042"/>
      <c r="AD7" s="3042"/>
      <c r="AE7" s="3042"/>
      <c r="AF7" s="3042"/>
      <c r="AG7" s="3042"/>
      <c r="AI7" s="3042"/>
    </row>
    <row r="8" spans="1:37" ht="15">
      <c r="A8" s="1424"/>
      <c r="B8" s="1424"/>
      <c r="C8" s="1424"/>
      <c r="D8" s="1424"/>
      <c r="E8" s="1424"/>
      <c r="F8" s="1424"/>
      <c r="G8" s="1424"/>
      <c r="H8" s="1424"/>
      <c r="I8" s="1424"/>
      <c r="J8" s="1424"/>
      <c r="K8" s="1424"/>
      <c r="L8" s="1424"/>
      <c r="M8" s="1424"/>
      <c r="N8" s="1424"/>
      <c r="O8" s="3042"/>
      <c r="P8" s="1424"/>
      <c r="Q8" s="1424"/>
      <c r="R8" s="1424"/>
      <c r="S8" s="1424"/>
      <c r="T8" s="1424"/>
      <c r="U8" s="1424"/>
      <c r="V8" s="1424"/>
      <c r="W8" s="1424"/>
      <c r="X8" s="1424"/>
      <c r="Y8" s="1424"/>
      <c r="Z8" s="1424"/>
      <c r="AA8" s="1424"/>
      <c r="AB8" s="3042"/>
      <c r="AC8" s="3042"/>
      <c r="AD8" s="3042"/>
      <c r="AE8" s="3042"/>
      <c r="AF8" s="3042"/>
      <c r="AG8" s="3042"/>
      <c r="AI8" s="3042"/>
    </row>
    <row r="9" spans="1:37" ht="15">
      <c r="A9" s="1424"/>
      <c r="B9" s="1424"/>
      <c r="C9" s="1424"/>
      <c r="D9" s="1424"/>
      <c r="E9" s="1424"/>
      <c r="F9" s="1424"/>
      <c r="G9" s="1424"/>
      <c r="H9" s="1424"/>
      <c r="I9" s="1424"/>
      <c r="J9" s="1424"/>
      <c r="K9" s="1424"/>
      <c r="L9" s="1424"/>
      <c r="M9" s="1424"/>
      <c r="N9" s="1424"/>
      <c r="O9" s="3042"/>
      <c r="P9" s="1424"/>
      <c r="Q9" s="1424"/>
      <c r="R9" s="1424"/>
      <c r="S9" s="1424"/>
      <c r="T9" s="1424"/>
      <c r="U9" s="1424"/>
      <c r="V9" s="1424"/>
      <c r="W9" s="1424"/>
      <c r="X9" s="1424"/>
      <c r="Y9" s="1424"/>
      <c r="Z9" s="1424"/>
      <c r="AA9" s="1424"/>
      <c r="AB9" s="3042"/>
      <c r="AC9" s="3042"/>
      <c r="AD9" s="3042"/>
      <c r="AE9" s="3042"/>
      <c r="AF9" s="3042"/>
      <c r="AG9" s="3042"/>
      <c r="AI9" s="3042"/>
    </row>
    <row r="10" spans="1:37" ht="15">
      <c r="A10" s="1424"/>
      <c r="B10" s="1424"/>
      <c r="C10" s="1424"/>
      <c r="D10" s="1424"/>
      <c r="E10" s="1424"/>
      <c r="F10" s="1424"/>
      <c r="G10" s="1424"/>
      <c r="H10" s="1424"/>
      <c r="I10" s="1424"/>
      <c r="J10" s="1424"/>
      <c r="K10" s="1424"/>
      <c r="L10" s="1424"/>
      <c r="M10" s="1424"/>
      <c r="N10" s="1424"/>
      <c r="O10" s="3042"/>
      <c r="P10" s="1424"/>
      <c r="Q10" s="1424"/>
      <c r="R10" s="1424"/>
      <c r="S10" s="1424"/>
      <c r="T10" s="1424"/>
      <c r="U10" s="1424"/>
      <c r="V10" s="1424"/>
      <c r="W10" s="1424"/>
      <c r="X10" s="1424"/>
      <c r="Y10" s="1424"/>
      <c r="Z10" s="1424"/>
      <c r="AA10" s="1424"/>
      <c r="AB10" s="3042"/>
      <c r="AC10" s="3042"/>
      <c r="AD10" s="3042"/>
      <c r="AE10" s="3042"/>
      <c r="AF10" s="3042"/>
      <c r="AG10" s="3042"/>
      <c r="AI10" s="3042"/>
    </row>
    <row r="11" spans="1:37" ht="15">
      <c r="A11" s="1424"/>
      <c r="B11" s="1424"/>
      <c r="C11" s="1424" t="s">
        <v>14</v>
      </c>
      <c r="D11" s="1424" t="s">
        <v>14</v>
      </c>
      <c r="E11" s="1424"/>
      <c r="F11" s="1424"/>
      <c r="G11" s="1424"/>
      <c r="H11" s="1424"/>
      <c r="I11" s="1424"/>
      <c r="J11" s="1424"/>
      <c r="K11" s="1424"/>
      <c r="L11" s="1424"/>
      <c r="M11" s="1424"/>
      <c r="N11" s="1424"/>
      <c r="O11" s="3042"/>
      <c r="P11" s="1424"/>
      <c r="Q11" s="1424"/>
      <c r="R11" s="1424"/>
      <c r="S11" s="1424"/>
      <c r="T11" s="1424"/>
      <c r="U11" s="1424"/>
      <c r="V11" s="1424"/>
      <c r="W11" s="1424"/>
      <c r="X11" s="1424"/>
      <c r="Y11" s="1424"/>
      <c r="Z11" s="1424"/>
      <c r="AA11" s="1424"/>
      <c r="AC11" s="3042"/>
      <c r="AD11" s="3042"/>
      <c r="AE11" s="3042"/>
      <c r="AF11" s="3042"/>
      <c r="AG11" s="3042"/>
      <c r="AI11" s="3042"/>
    </row>
    <row r="12" spans="1:37" ht="15.6">
      <c r="A12" s="1424"/>
      <c r="B12" s="1424"/>
      <c r="C12" s="1424"/>
      <c r="D12" s="1424"/>
      <c r="E12" s="1424"/>
      <c r="F12" s="1424"/>
      <c r="G12" s="1424"/>
      <c r="H12" s="1424"/>
      <c r="I12" s="1424"/>
      <c r="J12" s="1424"/>
      <c r="K12" s="1424"/>
      <c r="L12" s="1424"/>
      <c r="M12" s="1424"/>
      <c r="N12" s="1424"/>
      <c r="O12" s="3042"/>
      <c r="P12" s="1424"/>
      <c r="Q12" s="1424"/>
      <c r="R12" s="1424"/>
      <c r="S12" s="1424"/>
      <c r="T12" s="1424"/>
      <c r="U12" s="1424"/>
      <c r="V12" s="1424"/>
      <c r="W12" s="1424"/>
      <c r="X12" s="1424"/>
      <c r="Z12" s="1424"/>
      <c r="AA12" s="2710"/>
      <c r="AB12" s="3975" t="str">
        <f>'Cashflow Governmental'!AB12:AJ12</f>
        <v>10 Months Ended January 31</v>
      </c>
      <c r="AC12" s="3975"/>
      <c r="AD12" s="3975"/>
      <c r="AE12" s="3975"/>
      <c r="AF12" s="3975"/>
      <c r="AG12" s="3975"/>
      <c r="AH12" s="3975"/>
      <c r="AI12" s="3975"/>
      <c r="AJ12" s="3975"/>
    </row>
    <row r="13" spans="1:37" ht="15.6">
      <c r="A13" s="1424"/>
      <c r="B13" s="1424"/>
      <c r="C13" s="2388" t="str">
        <f>'Cashflow Governmental'!C13</f>
        <v>2021</v>
      </c>
      <c r="D13" s="2389"/>
      <c r="E13" s="2389"/>
      <c r="F13" s="2389"/>
      <c r="G13" s="2389"/>
      <c r="H13" s="2389"/>
      <c r="I13" s="2389"/>
      <c r="J13" s="2389"/>
      <c r="K13" s="2389"/>
      <c r="L13" s="2389"/>
      <c r="M13" s="2389"/>
      <c r="N13" s="2389"/>
      <c r="O13" s="3026"/>
      <c r="P13" s="2389"/>
      <c r="Q13" s="2389"/>
      <c r="R13" s="2389"/>
      <c r="S13" s="2389"/>
      <c r="T13" s="2389"/>
      <c r="U13" s="2388">
        <f>'Cashflow Governmental'!U13</f>
        <v>2022</v>
      </c>
      <c r="V13" s="2389"/>
      <c r="W13" s="2389"/>
      <c r="X13" s="2389"/>
      <c r="Y13" s="2389"/>
      <c r="Z13" s="2389"/>
      <c r="AA13" s="2389"/>
      <c r="AB13" s="3026"/>
      <c r="AC13" s="3082"/>
      <c r="AD13" s="3082"/>
      <c r="AE13" s="3082"/>
      <c r="AF13" s="3026"/>
      <c r="AG13" s="3026"/>
      <c r="AH13" s="3291" t="s">
        <v>7</v>
      </c>
      <c r="AI13" s="3292"/>
      <c r="AJ13" s="3291" t="s">
        <v>8</v>
      </c>
    </row>
    <row r="14" spans="1:37" ht="15.6">
      <c r="A14" s="1424"/>
      <c r="B14" s="1424"/>
      <c r="C14" s="2711" t="s">
        <v>123</v>
      </c>
      <c r="D14" s="2389"/>
      <c r="E14" s="2711" t="s">
        <v>124</v>
      </c>
      <c r="F14" s="2389"/>
      <c r="G14" s="2711" t="s">
        <v>125</v>
      </c>
      <c r="H14" s="2389"/>
      <c r="I14" s="2711" t="s">
        <v>126</v>
      </c>
      <c r="J14" s="2389"/>
      <c r="K14" s="2711" t="s">
        <v>127</v>
      </c>
      <c r="L14" s="2389"/>
      <c r="M14" s="2711" t="s">
        <v>128</v>
      </c>
      <c r="N14" s="2389"/>
      <c r="O14" s="3291" t="s">
        <v>129</v>
      </c>
      <c r="P14" s="2389"/>
      <c r="Q14" s="2712" t="s">
        <v>130</v>
      </c>
      <c r="R14" s="2389"/>
      <c r="S14" s="2711" t="s">
        <v>131</v>
      </c>
      <c r="T14" s="2389"/>
      <c r="U14" s="2711" t="s">
        <v>132</v>
      </c>
      <c r="V14" s="2389"/>
      <c r="W14" s="2711" t="s">
        <v>133</v>
      </c>
      <c r="X14" s="2389"/>
      <c r="Y14" s="2711" t="s">
        <v>134</v>
      </c>
      <c r="Z14" s="2389"/>
      <c r="AA14" s="2389"/>
      <c r="AB14" s="3330">
        <f>'Cashflow Governmental'!AB14</f>
        <v>2022</v>
      </c>
      <c r="AC14" s="3026"/>
      <c r="AD14" s="3026"/>
      <c r="AE14" s="3330">
        <f>'Cashflow Governmental'!AE14</f>
        <v>2021</v>
      </c>
      <c r="AF14" s="3082"/>
      <c r="AG14" s="3082"/>
      <c r="AH14" s="3293" t="s">
        <v>11</v>
      </c>
      <c r="AI14" s="3292"/>
      <c r="AJ14" s="3293" t="s">
        <v>12</v>
      </c>
    </row>
    <row r="15" spans="1:37" ht="5.25" customHeight="1">
      <c r="A15" s="1424"/>
      <c r="B15" s="1424"/>
      <c r="C15" s="2713"/>
      <c r="D15" s="1424"/>
      <c r="E15" s="2713"/>
      <c r="F15" s="1424"/>
      <c r="G15" s="2713"/>
      <c r="H15" s="1424"/>
      <c r="I15" s="2713"/>
      <c r="J15" s="1424"/>
      <c r="K15" s="2713"/>
      <c r="L15" s="1424"/>
      <c r="M15" s="2713"/>
      <c r="N15" s="1424"/>
      <c r="O15" s="3331" t="s">
        <v>14</v>
      </c>
      <c r="P15" s="1424"/>
      <c r="Q15" s="2714"/>
      <c r="R15" s="1424"/>
      <c r="S15" s="2713"/>
      <c r="T15" s="1424"/>
      <c r="U15" s="2713" t="s">
        <v>14</v>
      </c>
      <c r="V15" s="1424"/>
      <c r="W15" s="2713"/>
      <c r="X15" s="1424"/>
      <c r="Y15" s="2713"/>
      <c r="Z15" s="1424"/>
      <c r="AA15" s="1424"/>
      <c r="AB15" s="3331"/>
      <c r="AC15" s="3042"/>
      <c r="AD15" s="3042"/>
      <c r="AE15" s="3331"/>
      <c r="AF15" s="3294"/>
      <c r="AG15" s="3294"/>
      <c r="AI15" s="3042"/>
    </row>
    <row r="16" spans="1:37" ht="15.6">
      <c r="A16" s="2715" t="s">
        <v>135</v>
      </c>
      <c r="B16" s="1424"/>
      <c r="C16" s="2716">
        <f>'Exhibit F'!D12+'Exh D Special Revenue State Fed'!G41+'Exhibit H'!B12</f>
        <v>14934.4</v>
      </c>
      <c r="D16" s="2717"/>
      <c r="E16" s="2717">
        <f>C147</f>
        <v>18753.400000000001</v>
      </c>
      <c r="F16" s="2717"/>
      <c r="G16" s="2717">
        <f>E147</f>
        <v>20954.3</v>
      </c>
      <c r="H16" s="2717"/>
      <c r="I16" s="2717">
        <f>G147</f>
        <v>23094.9</v>
      </c>
      <c r="J16" s="2717"/>
      <c r="K16" s="2717">
        <f>I147</f>
        <v>24196.6</v>
      </c>
      <c r="L16" s="2717"/>
      <c r="M16" s="2717">
        <f>K147</f>
        <v>24879.7</v>
      </c>
      <c r="N16" s="2717"/>
      <c r="O16" s="2717">
        <f>M147</f>
        <v>26636.3</v>
      </c>
      <c r="P16" s="2717"/>
      <c r="Q16" s="2717">
        <f>O147</f>
        <v>25241.9</v>
      </c>
      <c r="R16" s="2717"/>
      <c r="S16" s="2717">
        <f>Q147</f>
        <v>24177.9</v>
      </c>
      <c r="T16" s="2717"/>
      <c r="U16" s="2717">
        <f>S147</f>
        <v>37628.5</v>
      </c>
      <c r="V16" s="2717"/>
      <c r="W16" s="2717"/>
      <c r="X16" s="2717"/>
      <c r="Y16" s="2717"/>
      <c r="Z16" s="2717"/>
      <c r="AA16" s="2718"/>
      <c r="AB16" s="2716">
        <f>C16</f>
        <v>14934.4</v>
      </c>
      <c r="AC16" s="2716"/>
      <c r="AD16" s="3332"/>
      <c r="AE16" s="2716">
        <f>'Exhibit F'!AF12+'Exhibit G State'!AG13+'Exhibit H'!AD12</f>
        <v>14408.300000000001</v>
      </c>
      <c r="AF16" s="3295"/>
      <c r="AG16" s="3295"/>
      <c r="AH16" s="2716">
        <f>ROUND(SUM(AB16-AE16),1)</f>
        <v>526.1</v>
      </c>
      <c r="AI16" s="3026"/>
      <c r="AJ16" s="1834">
        <f>ROUND(SUM(AH16/AE16),3)</f>
        <v>3.6999999999999998E-2</v>
      </c>
      <c r="AK16" s="2719"/>
    </row>
    <row r="17" spans="1:36" ht="15.6">
      <c r="A17" s="1424"/>
      <c r="B17" s="1424"/>
      <c r="C17" s="1424" t="s">
        <v>14</v>
      </c>
      <c r="D17" s="1424"/>
      <c r="E17" s="2640"/>
      <c r="F17" s="1424"/>
      <c r="G17" s="2640"/>
      <c r="H17" s="1424"/>
      <c r="I17" s="2640"/>
      <c r="J17" s="1424"/>
      <c r="K17" s="2640"/>
      <c r="L17" s="1424"/>
      <c r="M17" s="2640"/>
      <c r="N17" s="1424"/>
      <c r="O17" s="3774"/>
      <c r="P17" s="1424"/>
      <c r="Q17" s="2640"/>
      <c r="R17" s="1424"/>
      <c r="S17" s="2640"/>
      <c r="T17" s="1424"/>
      <c r="U17" s="2640"/>
      <c r="V17" s="1424"/>
      <c r="W17" s="2717"/>
      <c r="X17" s="1424"/>
      <c r="Y17" s="2640"/>
      <c r="Z17" s="1424"/>
      <c r="AA17" s="2720"/>
      <c r="AB17" s="3042" t="s">
        <v>14</v>
      </c>
      <c r="AC17" s="3042"/>
      <c r="AD17" s="3333"/>
      <c r="AE17" s="3042" t="s">
        <v>14</v>
      </c>
      <c r="AF17" s="3294"/>
      <c r="AG17" s="3294"/>
      <c r="AH17" s="3296"/>
      <c r="AI17" s="3042"/>
      <c r="AJ17" s="3296"/>
    </row>
    <row r="18" spans="1:36" ht="15.6">
      <c r="A18" s="1989" t="s">
        <v>13</v>
      </c>
      <c r="B18" s="1424"/>
      <c r="C18" s="1424"/>
      <c r="D18" s="1424"/>
      <c r="E18" s="2640"/>
      <c r="F18" s="1424"/>
      <c r="G18" s="2640"/>
      <c r="H18" s="1424"/>
      <c r="I18" s="2640"/>
      <c r="J18" s="1424"/>
      <c r="K18" s="2640"/>
      <c r="L18" s="1424"/>
      <c r="M18" s="2640"/>
      <c r="N18" s="1424"/>
      <c r="O18" s="3774"/>
      <c r="P18" s="1424"/>
      <c r="Q18" s="2640"/>
      <c r="R18" s="1424"/>
      <c r="S18" s="2640"/>
      <c r="T18" s="1424"/>
      <c r="U18" s="2640"/>
      <c r="V18" s="1424"/>
      <c r="W18" s="2640"/>
      <c r="X18" s="1424"/>
      <c r="Y18" s="2640"/>
      <c r="Z18" s="1424"/>
      <c r="AA18" s="2720"/>
      <c r="AB18" s="3042"/>
      <c r="AC18" s="3042"/>
      <c r="AD18" s="3333"/>
      <c r="AE18" s="3042"/>
      <c r="AF18" s="3294"/>
      <c r="AG18" s="3294"/>
      <c r="AH18" s="3296"/>
      <c r="AI18" s="3042"/>
      <c r="AJ18" s="3296"/>
    </row>
    <row r="19" spans="1:36" ht="15.6">
      <c r="A19" s="2417" t="s">
        <v>991</v>
      </c>
      <c r="B19" s="1424"/>
      <c r="C19" s="1424"/>
      <c r="D19" s="1424"/>
      <c r="E19" s="2640"/>
      <c r="F19" s="1424"/>
      <c r="G19" s="2640"/>
      <c r="H19" s="1424"/>
      <c r="I19" s="2640"/>
      <c r="J19" s="1424"/>
      <c r="K19" s="2640"/>
      <c r="L19" s="1424"/>
      <c r="M19" s="2640"/>
      <c r="N19" s="1424"/>
      <c r="O19" s="3774"/>
      <c r="P19" s="1424"/>
      <c r="Q19" s="2640"/>
      <c r="R19" s="1424"/>
      <c r="S19" s="2640"/>
      <c r="T19" s="1424"/>
      <c r="U19" s="2640"/>
      <c r="V19" s="1424"/>
      <c r="W19" s="2640"/>
      <c r="X19" s="1424"/>
      <c r="Y19" s="2640"/>
      <c r="Z19" s="1424"/>
      <c r="AA19" s="2721"/>
      <c r="AB19" s="3042"/>
      <c r="AC19" s="3042"/>
      <c r="AD19" s="3333"/>
      <c r="AE19" s="3042"/>
      <c r="AF19" s="3294"/>
      <c r="AG19" s="3294"/>
      <c r="AH19" s="3296"/>
      <c r="AI19" s="3042"/>
      <c r="AJ19" s="3296"/>
    </row>
    <row r="20" spans="1:36" ht="15">
      <c r="A20" s="2418" t="s">
        <v>1053</v>
      </c>
      <c r="B20" s="1424"/>
      <c r="C20" s="1424"/>
      <c r="D20" s="1424"/>
      <c r="E20" s="1423"/>
      <c r="F20" s="1424"/>
      <c r="G20" s="2640"/>
      <c r="H20" s="1424"/>
      <c r="I20" s="2640"/>
      <c r="J20" s="1424"/>
      <c r="K20" s="2640"/>
      <c r="L20" s="1424"/>
      <c r="M20" s="2640"/>
      <c r="N20" s="1424"/>
      <c r="O20" s="3774"/>
      <c r="P20" s="1424"/>
      <c r="Q20" s="2640"/>
      <c r="R20" s="1424"/>
      <c r="S20" s="2640"/>
      <c r="T20" s="1424"/>
      <c r="U20" s="2640"/>
      <c r="V20" s="1424"/>
      <c r="W20" s="2640"/>
      <c r="X20" s="1424"/>
      <c r="Y20" s="2640"/>
      <c r="Z20" s="1424"/>
      <c r="AA20" s="2720"/>
      <c r="AB20" s="3042"/>
      <c r="AC20" s="3042"/>
      <c r="AD20" s="3333"/>
      <c r="AE20" s="3042"/>
      <c r="AF20" s="3294"/>
      <c r="AG20" s="3294"/>
      <c r="AH20" s="3296"/>
      <c r="AI20" s="3042"/>
      <c r="AJ20" s="3296"/>
    </row>
    <row r="21" spans="1:36" ht="15">
      <c r="A21" s="2210" t="s">
        <v>997</v>
      </c>
      <c r="B21" s="1424"/>
      <c r="C21" s="1423">
        <f>+'Exhibit F'!D17</f>
        <v>3601.8</v>
      </c>
      <c r="D21" s="1423"/>
      <c r="E21" s="1423">
        <f>+'Exhibit F'!F17</f>
        <v>3217.7</v>
      </c>
      <c r="F21" s="1423"/>
      <c r="G21" s="1423">
        <f>+'Exhibit F'!H17</f>
        <v>3702.6000000000004</v>
      </c>
      <c r="H21" s="1423"/>
      <c r="I21" s="1423">
        <f>+'Exhibit F'!J17</f>
        <v>3408.2</v>
      </c>
      <c r="J21" s="1423"/>
      <c r="K21" s="1423">
        <f>+'Exhibit F'!L17</f>
        <v>3778.4000000000005</v>
      </c>
      <c r="L21" s="1423"/>
      <c r="M21" s="1423">
        <f>+'Exhibit F'!N17</f>
        <v>3634.7999999999984</v>
      </c>
      <c r="N21" s="1423"/>
      <c r="O21" s="1423">
        <f>+'Exhibit F'!P17</f>
        <v>3459.6</v>
      </c>
      <c r="P21" s="1424"/>
      <c r="Q21" s="1423">
        <f>+'Exhibit F'!R17</f>
        <v>3963.5000000000018</v>
      </c>
      <c r="R21" s="1424"/>
      <c r="S21" s="1423">
        <f>+'Exhibit F'!T17</f>
        <v>5963.4999999999945</v>
      </c>
      <c r="T21" s="1424"/>
      <c r="U21" s="1423">
        <f>+'Exhibit F'!V17</f>
        <v>5740.0000000000055</v>
      </c>
      <c r="V21" s="1424"/>
      <c r="W21" s="1423"/>
      <c r="X21" s="1424"/>
      <c r="Y21" s="1423"/>
      <c r="Z21" s="1424"/>
      <c r="AA21" s="2720"/>
      <c r="AB21" s="3083">
        <f>ROUND(SUM(C21:Y21),1)</f>
        <v>40470.1</v>
      </c>
      <c r="AC21" s="3042"/>
      <c r="AD21" s="3333"/>
      <c r="AE21" s="3083">
        <f>+'Exhibit F'!AF17</f>
        <v>33862.300000000003</v>
      </c>
      <c r="AF21" s="3294"/>
      <c r="AG21" s="3294"/>
      <c r="AH21" s="1979">
        <f>ROUND(SUM(+AB21-AE21),1)</f>
        <v>6607.8</v>
      </c>
      <c r="AI21" s="2423"/>
      <c r="AJ21" s="1797">
        <f t="shared" ref="AJ21:AJ25" si="0">ROUND(SUM(+AH21/ABS(AE21)),3)</f>
        <v>0.19500000000000001</v>
      </c>
    </row>
    <row r="22" spans="1:36" ht="15">
      <c r="A22" s="2210" t="s">
        <v>1253</v>
      </c>
      <c r="B22" s="1424"/>
      <c r="C22" s="1423">
        <f>+'Exhibit F'!D18</f>
        <v>3342.2000000000003</v>
      </c>
      <c r="D22" s="1423"/>
      <c r="E22" s="1423">
        <f>+'Exhibit F'!F18</f>
        <v>6128.6999999999989</v>
      </c>
      <c r="F22" s="1423"/>
      <c r="G22" s="1423">
        <f>+'Exhibit F'!H18</f>
        <v>2740.7000000000007</v>
      </c>
      <c r="H22" s="1423"/>
      <c r="I22" s="1423">
        <f>+'Exhibit F'!J18</f>
        <v>147.10000000000036</v>
      </c>
      <c r="J22" s="1423"/>
      <c r="K22" s="1423">
        <f>+'Exhibit F'!L18</f>
        <v>131.09999999999854</v>
      </c>
      <c r="L22" s="1423"/>
      <c r="M22" s="1423">
        <f>+'Exhibit F'!N18</f>
        <v>3241.9000000000015</v>
      </c>
      <c r="N22" s="1423"/>
      <c r="O22" s="1423">
        <f>+'Exhibit F'!P18</f>
        <v>187.79999999999927</v>
      </c>
      <c r="P22" s="1424"/>
      <c r="Q22" s="1423">
        <f>+'Exhibit F'!R18</f>
        <v>119.89999999999964</v>
      </c>
      <c r="R22" s="1424"/>
      <c r="S22" s="1423">
        <f>+'Exhibit F'!T18</f>
        <v>516.30000000000109</v>
      </c>
      <c r="T22" s="1424"/>
      <c r="U22" s="1423">
        <f>+'Exhibit F'!V18</f>
        <v>4677.2000000000007</v>
      </c>
      <c r="V22" s="1424"/>
      <c r="W22" s="1423"/>
      <c r="X22" s="1424"/>
      <c r="Y22" s="1423"/>
      <c r="Z22" s="1424"/>
      <c r="AA22" s="2720"/>
      <c r="AB22" s="3083">
        <f>ROUND(SUM(C22:Y22),1)</f>
        <v>21232.9</v>
      </c>
      <c r="AC22" s="3042"/>
      <c r="AD22" s="3333"/>
      <c r="AE22" s="3083">
        <f>+'Exhibit F'!AF18</f>
        <v>16157.9</v>
      </c>
      <c r="AF22" s="3294"/>
      <c r="AG22" s="3294"/>
      <c r="AH22" s="1979">
        <f t="shared" ref="AH22:AH28" si="1">ROUND(SUM(+AB22-AE22),1)</f>
        <v>5075</v>
      </c>
      <c r="AI22" s="2423"/>
      <c r="AJ22" s="1808">
        <f t="shared" si="0"/>
        <v>0.314</v>
      </c>
    </row>
    <row r="23" spans="1:36" ht="15">
      <c r="A23" s="2210" t="s">
        <v>998</v>
      </c>
      <c r="B23" s="1424"/>
      <c r="C23" s="1423">
        <f>+'Exhibit F'!D19</f>
        <v>913.6</v>
      </c>
      <c r="D23" s="1423"/>
      <c r="E23" s="1423">
        <f>+'Exhibit F'!F19</f>
        <v>2184.3000000000002</v>
      </c>
      <c r="F23" s="1423"/>
      <c r="G23" s="1423">
        <f>+'Exhibit F'!H19</f>
        <v>139.59999999999991</v>
      </c>
      <c r="H23" s="1423"/>
      <c r="I23" s="1423">
        <f>+'Exhibit F'!J19</f>
        <v>65</v>
      </c>
      <c r="J23" s="1423"/>
      <c r="K23" s="1423">
        <f>+'Exhibit F'!L19</f>
        <v>59.900000000000091</v>
      </c>
      <c r="L23" s="1423"/>
      <c r="M23" s="1423">
        <f>+'Exhibit F'!N19</f>
        <v>77.5</v>
      </c>
      <c r="N23" s="1423"/>
      <c r="O23" s="1423">
        <f>+'Exhibit F'!P19</f>
        <v>578.5</v>
      </c>
      <c r="P23" s="1424"/>
      <c r="Q23" s="1423">
        <f>+'Exhibit F'!R19</f>
        <v>75.199999999999818</v>
      </c>
      <c r="R23" s="1424"/>
      <c r="S23" s="1423">
        <f>+'Exhibit F'!T19</f>
        <v>44.400000000000091</v>
      </c>
      <c r="T23" s="1424"/>
      <c r="U23" s="1423">
        <f>+'Exhibit F'!V19</f>
        <v>51.899999999999636</v>
      </c>
      <c r="V23" s="1424"/>
      <c r="W23" s="1423"/>
      <c r="X23" s="1424"/>
      <c r="Y23" s="1423"/>
      <c r="Z23" s="1424"/>
      <c r="AA23" s="2720"/>
      <c r="AB23" s="3083">
        <f t="shared" ref="AB23:AB29" si="2">ROUND(SUM(C23:Y23),1)</f>
        <v>4189.8999999999996</v>
      </c>
      <c r="AC23" s="3042"/>
      <c r="AD23" s="3333"/>
      <c r="AE23" s="3083">
        <f>+'Exhibit F'!AF19</f>
        <v>3276.7</v>
      </c>
      <c r="AF23" s="3294"/>
      <c r="AG23" s="3294"/>
      <c r="AH23" s="1979">
        <f t="shared" si="1"/>
        <v>913.2</v>
      </c>
      <c r="AI23" s="2423"/>
      <c r="AJ23" s="1797">
        <f t="shared" si="0"/>
        <v>0.27900000000000003</v>
      </c>
    </row>
    <row r="24" spans="1:36" ht="15">
      <c r="A24" s="2722" t="s">
        <v>999</v>
      </c>
      <c r="B24" s="1424"/>
      <c r="C24" s="1423">
        <f>+'Exhibit F'!D20</f>
        <v>-203</v>
      </c>
      <c r="D24" s="1423"/>
      <c r="E24" s="1423">
        <f>+'Exhibit F'!F20</f>
        <v>-264.7</v>
      </c>
      <c r="F24" s="1423"/>
      <c r="G24" s="1423">
        <f>+'Exhibit F'!H20</f>
        <v>-21.600000000000023</v>
      </c>
      <c r="H24" s="1423"/>
      <c r="I24" s="1423">
        <f>+'Exhibit F'!J20</f>
        <v>-31.800000000000011</v>
      </c>
      <c r="J24" s="1423"/>
      <c r="K24" s="1423">
        <f>+'Exhibit F'!L20</f>
        <v>-19.100000000000023</v>
      </c>
      <c r="L24" s="1423"/>
      <c r="M24" s="1423">
        <f>+'Exhibit F'!N20</f>
        <v>-28.099999999999909</v>
      </c>
      <c r="N24" s="1423"/>
      <c r="O24" s="1423">
        <f>+'Exhibit F'!P20</f>
        <v>-242.80000000000007</v>
      </c>
      <c r="P24" s="1424"/>
      <c r="Q24" s="1423">
        <f>+'Exhibit F'!R20</f>
        <v>-44.799999999999955</v>
      </c>
      <c r="R24" s="1424"/>
      <c r="S24" s="1423">
        <f>+'Exhibit F'!T20</f>
        <v>-4.8999999999999773</v>
      </c>
      <c r="T24" s="1424"/>
      <c r="U24" s="1423">
        <f>+'Exhibit F'!V20</f>
        <v>-79.700000000000045</v>
      </c>
      <c r="V24" s="1424"/>
      <c r="W24" s="1423"/>
      <c r="X24" s="1424"/>
      <c r="Y24" s="1423"/>
      <c r="Z24" s="1424"/>
      <c r="AA24" s="2720"/>
      <c r="AB24" s="3083">
        <f>ROUND(SUM(C24:Y24),1)</f>
        <v>-940.5</v>
      </c>
      <c r="AC24" s="3042"/>
      <c r="AD24" s="3333"/>
      <c r="AE24" s="3083">
        <f>+'Exhibit F'!AF20</f>
        <v>-1027.4000000000001</v>
      </c>
      <c r="AF24" s="3294"/>
      <c r="AG24" s="3294"/>
      <c r="AH24" s="1979">
        <f>-ROUND(SUM(+AB24-AE24),1)</f>
        <v>-86.9</v>
      </c>
      <c r="AI24" s="2423"/>
      <c r="AJ24" s="1797">
        <f t="shared" si="0"/>
        <v>-8.5000000000000006E-2</v>
      </c>
    </row>
    <row r="25" spans="1:36" ht="15">
      <c r="A25" s="2722" t="s">
        <v>1252</v>
      </c>
      <c r="B25" s="1424"/>
      <c r="C25" s="1423">
        <f>+'Exhibit F'!D21</f>
        <v>154.1</v>
      </c>
      <c r="D25" s="1423"/>
      <c r="E25" s="1423">
        <f>+'Exhibit F'!F21</f>
        <v>87.200000000000017</v>
      </c>
      <c r="F25" s="1423"/>
      <c r="G25" s="1423">
        <f>+'Exhibit F'!H21</f>
        <v>111.30000000000001</v>
      </c>
      <c r="H25" s="1423"/>
      <c r="I25" s="1423">
        <f>+'Exhibit F'!J21</f>
        <v>91.899999999999949</v>
      </c>
      <c r="J25" s="1423"/>
      <c r="K25" s="1423">
        <f>+'Exhibit F'!L21</f>
        <v>112.39999999999995</v>
      </c>
      <c r="L25" s="1423"/>
      <c r="M25" s="1423">
        <f>+'Exhibit F'!N21</f>
        <v>104.20000000000002</v>
      </c>
      <c r="N25" s="1423"/>
      <c r="O25" s="1423">
        <f>+'Exhibit F'!P21</f>
        <v>118.1</v>
      </c>
      <c r="P25" s="1424"/>
      <c r="Q25" s="1423">
        <f>+'Exhibit F'!R21</f>
        <v>121.40000000000003</v>
      </c>
      <c r="R25" s="1424"/>
      <c r="S25" s="1423">
        <f>+'Exhibit F'!T21</f>
        <v>121.69999999999979</v>
      </c>
      <c r="T25" s="1424"/>
      <c r="U25" s="1423">
        <f>+'Exhibit F'!V21</f>
        <v>145.10000000000008</v>
      </c>
      <c r="V25" s="1424"/>
      <c r="W25" s="1423"/>
      <c r="X25" s="1424"/>
      <c r="Y25" s="1423"/>
      <c r="Z25" s="1424"/>
      <c r="AA25" s="2720"/>
      <c r="AB25" s="3083">
        <f t="shared" si="2"/>
        <v>1167.4000000000001</v>
      </c>
      <c r="AC25" s="3042"/>
      <c r="AD25" s="3333"/>
      <c r="AE25" s="3083">
        <f>+'Exhibit F'!AF21</f>
        <v>966.1</v>
      </c>
      <c r="AF25" s="3294"/>
      <c r="AG25" s="3294"/>
      <c r="AH25" s="1979">
        <f t="shared" si="1"/>
        <v>201.3</v>
      </c>
      <c r="AI25" s="2423"/>
      <c r="AJ25" s="1797">
        <f t="shared" si="0"/>
        <v>0.20799999999999999</v>
      </c>
    </row>
    <row r="26" spans="1:36" ht="15.6">
      <c r="A26" s="2286" t="s">
        <v>1000</v>
      </c>
      <c r="B26" s="1424"/>
      <c r="C26" s="2021">
        <f>ROUND(SUM(C21:C25),1)</f>
        <v>7808.7</v>
      </c>
      <c r="D26" s="1424"/>
      <c r="E26" s="2021">
        <f>ROUND(SUM(E21:E25),1)</f>
        <v>11353.2</v>
      </c>
      <c r="F26" s="1424"/>
      <c r="G26" s="2021">
        <f>ROUND(SUM(G21:G25),1)</f>
        <v>6672.6</v>
      </c>
      <c r="H26" s="1424"/>
      <c r="I26" s="2021">
        <f>ROUND(SUM(I21:I25),1)</f>
        <v>3680.4</v>
      </c>
      <c r="J26" s="1424"/>
      <c r="K26" s="2021">
        <f>ROUND(SUM(K21:K25),1)</f>
        <v>4062.7</v>
      </c>
      <c r="L26" s="1424"/>
      <c r="M26" s="2021">
        <f>ROUND(SUM(M21:M25),1)</f>
        <v>7030.3</v>
      </c>
      <c r="N26" s="1424"/>
      <c r="O26" s="1444">
        <f>ROUND(SUM(O21:O25),1)</f>
        <v>4101.2</v>
      </c>
      <c r="P26" s="1424"/>
      <c r="Q26" s="2021">
        <f>ROUND(SUM(Q21:Q25),1)</f>
        <v>4235.2</v>
      </c>
      <c r="R26" s="1424"/>
      <c r="S26" s="2021">
        <f>ROUND(SUM(S21:S25),1)</f>
        <v>6641</v>
      </c>
      <c r="T26" s="1424"/>
      <c r="U26" s="2021">
        <f>ROUND(SUM(U21:U25),1)</f>
        <v>10534.5</v>
      </c>
      <c r="V26" s="1424"/>
      <c r="W26" s="2021">
        <f>ROUND(SUM(W21:W25),1)</f>
        <v>0</v>
      </c>
      <c r="X26" s="1424"/>
      <c r="Y26" s="2021">
        <f>ROUND(SUM(Y21:Y25),1)</f>
        <v>0</v>
      </c>
      <c r="Z26" s="1424"/>
      <c r="AA26" s="2720"/>
      <c r="AB26" s="1444">
        <f>ROUND(SUM(AB21:AB25),1)</f>
        <v>66119.8</v>
      </c>
      <c r="AC26" s="3042"/>
      <c r="AD26" s="3333"/>
      <c r="AE26" s="1444">
        <f>ROUND(SUM(AE21:AE25),1)</f>
        <v>53235.6</v>
      </c>
      <c r="AF26" s="3294"/>
      <c r="AG26" s="3294"/>
      <c r="AH26" s="1996">
        <f t="shared" si="1"/>
        <v>12884.2</v>
      </c>
      <c r="AI26" s="2423"/>
      <c r="AJ26" s="2503">
        <f>ROUND(SUM(+AH26/ABS(AE26)),3)</f>
        <v>0.24199999999999999</v>
      </c>
    </row>
    <row r="27" spans="1:36" ht="15">
      <c r="A27" s="2722" t="s">
        <v>1002</v>
      </c>
      <c r="B27" s="1424"/>
      <c r="C27" s="1423">
        <f>+'Exhibit F'!D23+'Exhibit G State'!D17</f>
        <v>0</v>
      </c>
      <c r="D27" s="1424"/>
      <c r="E27" s="1423">
        <f>+'Exhibit F'!F23+'Exhibit G State'!F17</f>
        <v>0</v>
      </c>
      <c r="F27" s="1424"/>
      <c r="G27" s="1423">
        <f>+'Exhibit F'!H23+'Exhibit G State'!H17</f>
        <v>0</v>
      </c>
      <c r="H27" s="1424"/>
      <c r="I27" s="1423">
        <f>+'Exhibit F'!J23+'Exhibit G State'!J17</f>
        <v>0</v>
      </c>
      <c r="J27" s="1424"/>
      <c r="K27" s="1423">
        <f>+'Exhibit F'!L23+'Exhibit G State'!L17</f>
        <v>0</v>
      </c>
      <c r="L27" s="1424"/>
      <c r="M27" s="1423">
        <f>+'Exhibit F'!N23+'Exhibit G State'!N17</f>
        <v>0</v>
      </c>
      <c r="N27" s="1424"/>
      <c r="O27" s="1423">
        <f>+'Exhibit F'!P23+'Exhibit G State'!P17</f>
        <v>0</v>
      </c>
      <c r="P27" s="1424"/>
      <c r="Q27" s="1423">
        <f>+'Exhibit F'!R23+'Exhibit G State'!R17</f>
        <v>0</v>
      </c>
      <c r="R27" s="1424"/>
      <c r="S27" s="1423">
        <f>+'Exhibit F'!T23+'Exhibit G State'!T17</f>
        <v>0</v>
      </c>
      <c r="T27" s="1424"/>
      <c r="U27" s="1423">
        <f>+'Exhibit F'!V23+'Exhibit G State'!V17</f>
        <v>0</v>
      </c>
      <c r="V27" s="1424"/>
      <c r="W27" s="1423"/>
      <c r="X27" s="1424"/>
      <c r="Y27" s="1423"/>
      <c r="Z27" s="1424"/>
      <c r="AA27" s="2720"/>
      <c r="AB27" s="3083">
        <f>ROUND(SUM(C27:Y27),1)</f>
        <v>0</v>
      </c>
      <c r="AC27" s="3042"/>
      <c r="AD27" s="3333"/>
      <c r="AE27" s="3083">
        <f>+'Exhibit F'!AF23+'Exhibit G State'!AG17</f>
        <v>0</v>
      </c>
      <c r="AF27" s="3294"/>
      <c r="AG27" s="3294"/>
      <c r="AH27" s="1979">
        <f t="shared" si="1"/>
        <v>0</v>
      </c>
      <c r="AI27" s="2423"/>
      <c r="AJ27" s="1703">
        <f>ROUND(IF(AE27=0,0,AH27/ABS(AE27)),3)</f>
        <v>0</v>
      </c>
    </row>
    <row r="28" spans="1:36" ht="15">
      <c r="A28" s="2722" t="s">
        <v>1003</v>
      </c>
      <c r="B28" s="1424"/>
      <c r="C28" s="1423">
        <f>+'Exhibit F'!D24+'Exhibit H'!B16</f>
        <v>0</v>
      </c>
      <c r="D28" s="1424"/>
      <c r="E28" s="1423">
        <f>+'Exhibit F'!F24+'Exhibit H'!D16</f>
        <v>0</v>
      </c>
      <c r="F28" s="1424"/>
      <c r="G28" s="1423">
        <f>+'Exhibit F'!H24+'Exhibit H'!F16</f>
        <v>0</v>
      </c>
      <c r="H28" s="1424"/>
      <c r="I28" s="1423">
        <f>+'Exhibit F'!J24+'Exhibit H'!H16</f>
        <v>0</v>
      </c>
      <c r="J28" s="1424"/>
      <c r="K28" s="1423">
        <f>+'Exhibit F'!L24+'Exhibit H'!J16</f>
        <v>0</v>
      </c>
      <c r="L28" s="1424"/>
      <c r="M28" s="1423">
        <f>+'Exhibit F'!N24+'Exhibit H'!L16</f>
        <v>0</v>
      </c>
      <c r="N28" s="1424"/>
      <c r="O28" s="1423">
        <f>+'Exhibit F'!P24+'Exhibit H'!N16</f>
        <v>0</v>
      </c>
      <c r="P28" s="1424"/>
      <c r="Q28" s="1423">
        <f>+'Exhibit F'!R24+'Exhibit H'!P16</f>
        <v>0</v>
      </c>
      <c r="R28" s="1424"/>
      <c r="S28" s="1423">
        <f>+'Exhibit F'!T24+'Exhibit H'!R16</f>
        <v>0</v>
      </c>
      <c r="T28" s="1424"/>
      <c r="U28" s="1423">
        <f>+'Exhibit F'!V24+'Exhibit H'!T16</f>
        <v>0</v>
      </c>
      <c r="V28" s="1424"/>
      <c r="W28" s="1423"/>
      <c r="X28" s="1424"/>
      <c r="Y28" s="1423"/>
      <c r="Z28" s="1424"/>
      <c r="AA28" s="2720"/>
      <c r="AB28" s="3083">
        <f t="shared" si="2"/>
        <v>0</v>
      </c>
      <c r="AC28" s="3042"/>
      <c r="AD28" s="3333"/>
      <c r="AE28" s="3083">
        <f>+'Exhibit F'!AF24+'Exhibit H'!AD16</f>
        <v>0</v>
      </c>
      <c r="AF28" s="3294"/>
      <c r="AG28" s="3294"/>
      <c r="AH28" s="1979">
        <f t="shared" si="1"/>
        <v>0</v>
      </c>
      <c r="AI28" s="2423"/>
      <c r="AJ28" s="1703">
        <f>ROUND(IF(AE28=0,0,AH28/ABS(AE28)),3)</f>
        <v>0</v>
      </c>
    </row>
    <row r="29" spans="1:36" ht="15">
      <c r="A29" s="2210" t="s">
        <v>1254</v>
      </c>
      <c r="B29" s="1423"/>
      <c r="C29" s="1423">
        <f>+'Exhibit F'!D25</f>
        <v>-1282.9000000000001</v>
      </c>
      <c r="D29" s="1423"/>
      <c r="E29" s="1423">
        <f>+'Exhibit F'!F25</f>
        <v>-1520.1999999999998</v>
      </c>
      <c r="F29" s="1423"/>
      <c r="G29" s="1423">
        <f>+'Exhibit F'!H25</f>
        <v>-852</v>
      </c>
      <c r="H29" s="1423"/>
      <c r="I29" s="1423">
        <f>+'Exhibit F'!J25</f>
        <v>-315.80000000000018</v>
      </c>
      <c r="J29" s="1423"/>
      <c r="K29" s="1423">
        <f>+'Exhibit F'!L25</f>
        <v>-261.29999999999973</v>
      </c>
      <c r="L29" s="1424"/>
      <c r="M29" s="1423">
        <f>+'Exhibit F'!N25</f>
        <v>-580.5</v>
      </c>
      <c r="N29" s="1424"/>
      <c r="O29" s="1423">
        <f>+'Exhibit F'!P25</f>
        <v>-724.80000000000064</v>
      </c>
      <c r="P29" s="1424"/>
      <c r="Q29" s="1423">
        <f>+'Exhibit F'!R25</f>
        <v>-654.10000000000036</v>
      </c>
      <c r="R29" s="1424"/>
      <c r="S29" s="1423">
        <f>+'Exhibit F'!T25</f>
        <v>-354.69999999999891</v>
      </c>
      <c r="T29" s="1424"/>
      <c r="U29" s="1423">
        <f>+'Exhibit F'!V25</f>
        <v>-101.5</v>
      </c>
      <c r="V29" s="1424"/>
      <c r="W29" s="1423"/>
      <c r="X29" s="1424"/>
      <c r="Y29" s="1423"/>
      <c r="Z29" s="1424"/>
      <c r="AA29" s="2720"/>
      <c r="AB29" s="3083">
        <f t="shared" si="2"/>
        <v>-6647.8</v>
      </c>
      <c r="AC29" s="3042"/>
      <c r="AD29" s="3333"/>
      <c r="AE29" s="3083">
        <f>+'Exhibit F'!AF25</f>
        <v>-6984.4</v>
      </c>
      <c r="AF29" s="3294"/>
      <c r="AG29" s="3294"/>
      <c r="AH29" s="1979">
        <f>-ROUND(SUM(+AB29-AE29),1)</f>
        <v>-336.6</v>
      </c>
      <c r="AI29" s="2423"/>
      <c r="AJ29" s="1797">
        <f>ROUND(SUM(+AH29/ABS(AE29)),3)</f>
        <v>-4.8000000000000001E-2</v>
      </c>
    </row>
    <row r="30" spans="1:36" ht="15.6">
      <c r="A30" s="2428" t="s">
        <v>1001</v>
      </c>
      <c r="B30" s="1424"/>
      <c r="C30" s="2021">
        <f>ROUND(SUM(C26+C27+C28+C29),1)</f>
        <v>6525.8</v>
      </c>
      <c r="D30" s="1424"/>
      <c r="E30" s="2021">
        <f>ROUND(SUM(E26+E27+E28+E29),1)</f>
        <v>9833</v>
      </c>
      <c r="F30" s="1424"/>
      <c r="G30" s="2021">
        <f>ROUND(SUM(G26+G27+G28+G29),1)</f>
        <v>5820.6</v>
      </c>
      <c r="H30" s="1424"/>
      <c r="I30" s="2021">
        <f>ROUND(SUM(I26+I27+I28+I29),1)</f>
        <v>3364.6</v>
      </c>
      <c r="J30" s="1424"/>
      <c r="K30" s="2021">
        <f>ROUND(SUM(K26+K27+K28+K29),1)</f>
        <v>3801.4</v>
      </c>
      <c r="L30" s="1424"/>
      <c r="M30" s="2021">
        <f>ROUND(SUM(M26+M27+M28+M29),1)</f>
        <v>6449.8</v>
      </c>
      <c r="N30" s="1424"/>
      <c r="O30" s="1444">
        <f>ROUND(SUM(O26+O27+O28+O29),1)</f>
        <v>3376.4</v>
      </c>
      <c r="P30" s="1424"/>
      <c r="Q30" s="2021">
        <f>ROUND(SUM(Q26+Q27+Q28+Q29),1)</f>
        <v>3581.1</v>
      </c>
      <c r="R30" s="1424"/>
      <c r="S30" s="2021">
        <f>ROUND(SUM(S26+S27+S28+S29),1)</f>
        <v>6286.3</v>
      </c>
      <c r="T30" s="1424"/>
      <c r="U30" s="2021">
        <f>ROUND(SUM(U26+U27+U28+U29),1)</f>
        <v>10433</v>
      </c>
      <c r="V30" s="1424"/>
      <c r="W30" s="2021">
        <f>ROUND(SUM(W26+W27+W28+W29),1)</f>
        <v>0</v>
      </c>
      <c r="X30" s="1424"/>
      <c r="Y30" s="2021">
        <f>ROUND(SUM(Y26+Y27+Y28+Y29),1)</f>
        <v>0</v>
      </c>
      <c r="Z30" s="1424"/>
      <c r="AA30" s="2720"/>
      <c r="AB30" s="1444">
        <f>ROUND(SUM(AB26+AB27+AB28+AB29),1)</f>
        <v>59472</v>
      </c>
      <c r="AC30" s="3042"/>
      <c r="AD30" s="3333"/>
      <c r="AE30" s="1444">
        <f>ROUND(SUM(AE26+AE27+AE28+AE29),1)</f>
        <v>46251.199999999997</v>
      </c>
      <c r="AF30" s="3294"/>
      <c r="AG30" s="3294"/>
      <c r="AH30" s="1444">
        <f>ROUND(SUM(AH26+AH27+AH28-AH29),1)</f>
        <v>13220.8</v>
      </c>
      <c r="AI30" s="3297"/>
      <c r="AJ30" s="2503">
        <f>ROUND(SUM(+AH30/ABS(AE30)),3)</f>
        <v>0.28599999999999998</v>
      </c>
    </row>
    <row r="31" spans="1:36" ht="15">
      <c r="A31" s="2418" t="s">
        <v>1050</v>
      </c>
      <c r="B31" s="1424"/>
      <c r="C31" s="1424"/>
      <c r="D31" s="1424"/>
      <c r="E31" s="1424"/>
      <c r="F31" s="1424"/>
      <c r="G31" s="1424"/>
      <c r="H31" s="1424"/>
      <c r="I31" s="1424"/>
      <c r="J31" s="1424"/>
      <c r="K31" s="1424"/>
      <c r="L31" s="1424"/>
      <c r="M31" s="1424"/>
      <c r="N31" s="1424"/>
      <c r="O31" s="3042"/>
      <c r="P31" s="1424"/>
      <c r="Q31" s="1424"/>
      <c r="R31" s="1424"/>
      <c r="S31" s="1424"/>
      <c r="T31" s="1424"/>
      <c r="U31" s="1424"/>
      <c r="V31" s="1424"/>
      <c r="W31" s="1424"/>
      <c r="X31" s="1424"/>
      <c r="Y31" s="1424"/>
      <c r="Z31" s="1424"/>
      <c r="AA31" s="2720"/>
      <c r="AB31" s="3042"/>
      <c r="AC31" s="3042"/>
      <c r="AD31" s="3333"/>
      <c r="AE31" s="3083"/>
      <c r="AF31" s="3294"/>
      <c r="AG31" s="3294"/>
      <c r="AH31" s="3296"/>
      <c r="AI31" s="3042"/>
      <c r="AJ31" s="3296"/>
    </row>
    <row r="32" spans="1:36" ht="15">
      <c r="A32" s="2210" t="s">
        <v>1006</v>
      </c>
      <c r="B32" s="1424"/>
      <c r="C32" s="1423">
        <f>+'Exhibit F'!D28+'Exhibit H'!B19+'Exhibit G State'!D20</f>
        <v>1297.4000000000001</v>
      </c>
      <c r="D32" s="1423"/>
      <c r="E32" s="1423">
        <f>+'Exhibit F'!F28+'Exhibit H'!D19+'Exhibit G State'!F20</f>
        <v>1261.4000000000001</v>
      </c>
      <c r="F32" s="1423"/>
      <c r="G32" s="1423">
        <f>+'Exhibit F'!H28+'Exhibit H'!F19+'Exhibit G State'!H20</f>
        <v>1711.7</v>
      </c>
      <c r="H32" s="1423"/>
      <c r="I32" s="1423">
        <f>+'Exhibit F'!J28+'Exhibit H'!H19+'Exhibit G State'!J20</f>
        <v>1382.9</v>
      </c>
      <c r="J32" s="1423"/>
      <c r="K32" s="1423">
        <f>+'Exhibit F'!L28+'Exhibit H'!J19+'Exhibit G State'!L20</f>
        <v>1334.7999999999993</v>
      </c>
      <c r="L32" s="1424"/>
      <c r="M32" s="1423">
        <f>+'Exhibit F'!N28+'Exhibit H'!L19+'Exhibit G State'!N20</f>
        <v>1739.7000000000012</v>
      </c>
      <c r="N32" s="1424"/>
      <c r="O32" s="1423">
        <f>+'Exhibit F'!P28+'Exhibit H'!N19+'Exhibit G State'!P20</f>
        <v>1343.6999999999991</v>
      </c>
      <c r="P32" s="1424"/>
      <c r="Q32" s="1423">
        <f>+'Exhibit F'!R28+'Exhibit H'!P19+'Exhibit G State'!R20</f>
        <v>1381.9</v>
      </c>
      <c r="R32" s="1424"/>
      <c r="S32" s="1423">
        <f>+'Exhibit F'!T28+'Exhibit H'!R19+'Exhibit G State'!T20</f>
        <v>1755.2999999999997</v>
      </c>
      <c r="T32" s="1424"/>
      <c r="U32" s="1423">
        <f>+'Exhibit F'!V28+'Exhibit H'!T19+'Exhibit G State'!V20</f>
        <v>1483.9000000000008</v>
      </c>
      <c r="V32" s="1424"/>
      <c r="W32" s="1423"/>
      <c r="X32" s="1424"/>
      <c r="Y32" s="1423"/>
      <c r="Z32" s="1424"/>
      <c r="AA32" s="2720"/>
      <c r="AB32" s="3083">
        <f t="shared" ref="AB32:AB38" si="3">ROUND(SUM(C32:Y32),1)</f>
        <v>14692.7</v>
      </c>
      <c r="AC32" s="3042"/>
      <c r="AD32" s="3333"/>
      <c r="AE32" s="3083">
        <f>+'Exhibit F'!AF28+'Exhibit H'!AD19+'Exhibit G State'!AG20</f>
        <v>11777.5</v>
      </c>
      <c r="AF32" s="3294"/>
      <c r="AG32" s="3294"/>
      <c r="AH32" s="1979">
        <f t="shared" ref="AH32:AH38" si="4">ROUND(SUM(+AB32-AE32),1)</f>
        <v>2915.2</v>
      </c>
      <c r="AI32" s="2423"/>
      <c r="AJ32" s="1797">
        <f>ROUND(SUM(+AH32/ABS(AE32)),3)</f>
        <v>0.248</v>
      </c>
    </row>
    <row r="33" spans="1:36" ht="15">
      <c r="A33" s="2210" t="s">
        <v>1007</v>
      </c>
      <c r="B33" s="1424"/>
      <c r="C33" s="1423">
        <f>+'Exhibit F'!D29+'Exhibit G State'!D21</f>
        <v>-0.2</v>
      </c>
      <c r="D33" s="1423"/>
      <c r="E33" s="1423">
        <f>+'Exhibit F'!F29+'Exhibit G State'!F21</f>
        <v>0</v>
      </c>
      <c r="F33" s="1423"/>
      <c r="G33" s="1423">
        <f>+'Exhibit F'!H29+'Exhibit G State'!H21</f>
        <v>5.1000000000000005</v>
      </c>
      <c r="H33" s="1423"/>
      <c r="I33" s="1423">
        <f>+'Exhibit F'!J29+'Exhibit G State'!J21</f>
        <v>0</v>
      </c>
      <c r="J33" s="1423"/>
      <c r="K33" s="1423">
        <f>+'Exhibit F'!L29+'Exhibit G State'!L21</f>
        <v>0</v>
      </c>
      <c r="L33" s="1424"/>
      <c r="M33" s="1423">
        <f>+'Exhibit F'!N29+'Exhibit G State'!N21</f>
        <v>7.6999999999999984</v>
      </c>
      <c r="N33" s="1424"/>
      <c r="O33" s="1423">
        <f>+'Exhibit F'!P29+'Exhibit G State'!P21</f>
        <v>0</v>
      </c>
      <c r="P33" s="1424"/>
      <c r="Q33" s="1423">
        <f>+'Exhibit F'!R29+'Exhibit G State'!R21</f>
        <v>-9.9999999999999645E-2</v>
      </c>
      <c r="R33" s="1424"/>
      <c r="S33" s="1423">
        <f>+'Exhibit F'!T29+'Exhibit G State'!T21</f>
        <v>6.1999999999999984</v>
      </c>
      <c r="T33" s="1424"/>
      <c r="U33" s="1423">
        <f>+'Exhibit F'!V29+'Exhibit G State'!V21</f>
        <v>0</v>
      </c>
      <c r="V33" s="1424"/>
      <c r="W33" s="1423"/>
      <c r="X33" s="1424"/>
      <c r="Y33" s="1423"/>
      <c r="Z33" s="1424"/>
      <c r="AA33" s="2720"/>
      <c r="AB33" s="3083">
        <f t="shared" si="3"/>
        <v>18.7</v>
      </c>
      <c r="AC33" s="3042"/>
      <c r="AD33" s="3333"/>
      <c r="AE33" s="3083">
        <f>+'Exhibit F'!AF29+'Exhibit G State'!AG21</f>
        <v>8.6999999999999993</v>
      </c>
      <c r="AF33" s="3294"/>
      <c r="AG33" s="3294"/>
      <c r="AH33" s="1979">
        <f t="shared" si="4"/>
        <v>10</v>
      </c>
      <c r="AI33" s="2423"/>
      <c r="AJ33" s="1703">
        <f>ROUND(IF(AE33=0,1,AH33/ABS(AE33)),3)</f>
        <v>1.149</v>
      </c>
    </row>
    <row r="34" spans="1:36" ht="15">
      <c r="A34" s="2210" t="s">
        <v>1008</v>
      </c>
      <c r="B34" s="1424"/>
      <c r="C34" s="1423">
        <f>+'Exhibit F'!D30+'Exhibit G State'!D22</f>
        <v>98.300000000000011</v>
      </c>
      <c r="D34" s="1423"/>
      <c r="E34" s="1423">
        <f>+'Exhibit F'!F30+'Exhibit G State'!F22</f>
        <v>76.599999999999994</v>
      </c>
      <c r="F34" s="1423"/>
      <c r="G34" s="1423">
        <f>+'Exhibit F'!H30+'Exhibit G State'!H22</f>
        <v>90.6</v>
      </c>
      <c r="H34" s="1423"/>
      <c r="I34" s="1423">
        <f>+'Exhibit F'!J30+'Exhibit G State'!J22</f>
        <v>85.4</v>
      </c>
      <c r="J34" s="1423"/>
      <c r="K34" s="1423">
        <f>+'Exhibit F'!L30+'Exhibit G State'!L22</f>
        <v>88.3</v>
      </c>
      <c r="L34" s="1424"/>
      <c r="M34" s="1423">
        <f>+'Exhibit F'!N30+'Exhibit G State'!N22</f>
        <v>82.80000000000004</v>
      </c>
      <c r="N34" s="1424"/>
      <c r="O34" s="1423">
        <f>+'Exhibit F'!P30+'Exhibit G State'!P22</f>
        <v>88.300000000000011</v>
      </c>
      <c r="P34" s="1424"/>
      <c r="Q34" s="1423">
        <f>+'Exhibit F'!R30+'Exhibit G State'!R22</f>
        <v>78.899999999999963</v>
      </c>
      <c r="R34" s="1424"/>
      <c r="S34" s="1423">
        <f>+'Exhibit F'!T30+'Exhibit G State'!T22</f>
        <v>82.200000000000045</v>
      </c>
      <c r="T34" s="1424"/>
      <c r="U34" s="1423">
        <f>+'Exhibit F'!V30+'Exhibit G State'!V22</f>
        <v>68.499999999999844</v>
      </c>
      <c r="V34" s="1424"/>
      <c r="W34" s="1423"/>
      <c r="X34" s="1424"/>
      <c r="Y34" s="1423"/>
      <c r="Z34" s="1424"/>
      <c r="AA34" s="2720"/>
      <c r="AB34" s="3083">
        <f t="shared" si="3"/>
        <v>839.9</v>
      </c>
      <c r="AC34" s="3042"/>
      <c r="AD34" s="3333"/>
      <c r="AE34" s="3083">
        <f>+'Exhibit F'!AF30+'Exhibit G State'!AG22</f>
        <v>890.7</v>
      </c>
      <c r="AF34" s="3294"/>
      <c r="AG34" s="3294"/>
      <c r="AH34" s="1979">
        <f t="shared" si="4"/>
        <v>-50.8</v>
      </c>
      <c r="AI34" s="2423"/>
      <c r="AJ34" s="1797">
        <f>ROUND(SUM(+AH34/ABS(AE34)),3)</f>
        <v>-5.7000000000000002E-2</v>
      </c>
    </row>
    <row r="35" spans="1:36" ht="15">
      <c r="A35" s="2210" t="s">
        <v>1532</v>
      </c>
      <c r="B35" s="1424"/>
      <c r="C35" s="1423">
        <f>'Exhibit G State'!D23</f>
        <v>1.5</v>
      </c>
      <c r="D35" s="1423"/>
      <c r="E35" s="1423">
        <f>'Exhibit G State'!F23</f>
        <v>1.1000000000000001</v>
      </c>
      <c r="F35" s="1423"/>
      <c r="G35" s="1423">
        <f>'Exhibit G State'!H23</f>
        <v>1.1000000000000001</v>
      </c>
      <c r="H35" s="1423"/>
      <c r="I35" s="1423">
        <f>'Exhibit G State'!J23</f>
        <v>0.90000000000000036</v>
      </c>
      <c r="J35" s="1423"/>
      <c r="K35" s="1423">
        <f>'Exhibit G State'!L23</f>
        <v>1.0999999999999996</v>
      </c>
      <c r="L35" s="1424"/>
      <c r="M35" s="1423">
        <f>'Exhibit G State'!N23</f>
        <v>0.99999999999999956</v>
      </c>
      <c r="N35" s="1424"/>
      <c r="O35" s="1423">
        <f>'Exhibit G State'!P23</f>
        <v>1.1000000000000001</v>
      </c>
      <c r="P35" s="1424"/>
      <c r="Q35" s="1423">
        <f>'Exhibit G State'!R23</f>
        <v>1.0000000000000018</v>
      </c>
      <c r="R35" s="1424"/>
      <c r="S35" s="1423">
        <f>'Exhibit G State'!T23</f>
        <v>1.1999999999999993</v>
      </c>
      <c r="T35" s="1424"/>
      <c r="U35" s="1423">
        <f>'Exhibit G State'!V23</f>
        <v>1.0999999999999992</v>
      </c>
      <c r="V35" s="1424"/>
      <c r="W35" s="1423"/>
      <c r="X35" s="1424"/>
      <c r="Y35" s="1423"/>
      <c r="Z35" s="1424"/>
      <c r="AA35" s="2720"/>
      <c r="AB35" s="3083">
        <f t="shared" si="3"/>
        <v>11.1</v>
      </c>
      <c r="AC35" s="3042"/>
      <c r="AD35" s="3333"/>
      <c r="AE35" s="3083">
        <f>'Exhibit G State'!AG23</f>
        <v>7.2</v>
      </c>
      <c r="AF35" s="3294"/>
      <c r="AG35" s="3294"/>
      <c r="AH35" s="1979">
        <f>ROUND(SUM(+AB35-AE35),1)</f>
        <v>3.9</v>
      </c>
      <c r="AI35" s="2423"/>
      <c r="AJ35" s="1703">
        <f>ROUND(IF(AE35=0,1,AH35/ABS(AE35)),3)</f>
        <v>0.54200000000000004</v>
      </c>
    </row>
    <row r="36" spans="1:36" ht="15">
      <c r="A36" s="2210" t="s">
        <v>1009</v>
      </c>
      <c r="B36" s="1424"/>
      <c r="C36" s="1423">
        <f>+'Exhibit F'!D31+'Exhibit G State'!D24</f>
        <v>7.2</v>
      </c>
      <c r="D36" s="1423"/>
      <c r="E36" s="1423">
        <f>+'Exhibit F'!F31+'Exhibit G State'!F24</f>
        <v>8.6000000000000014</v>
      </c>
      <c r="F36" s="1423"/>
      <c r="G36" s="1423">
        <f>+'Exhibit F'!H31+'Exhibit G State'!H24</f>
        <v>9.8999999999999986</v>
      </c>
      <c r="H36" s="1423"/>
      <c r="I36" s="1423">
        <f>+'Exhibit F'!J31+'Exhibit G State'!J24</f>
        <v>9.5000000000000036</v>
      </c>
      <c r="J36" s="1423"/>
      <c r="K36" s="1423">
        <f>+'Exhibit F'!L31+'Exhibit G State'!L24</f>
        <v>9.6999999999999922</v>
      </c>
      <c r="L36" s="1424"/>
      <c r="M36" s="1423">
        <f>+'Exhibit F'!N31+'Exhibit G State'!N24</f>
        <v>10.200000000000003</v>
      </c>
      <c r="N36" s="1424"/>
      <c r="O36" s="1423">
        <f>+'Exhibit F'!P31+'Exhibit G State'!P24</f>
        <v>9.4999999999999929</v>
      </c>
      <c r="P36" s="1424"/>
      <c r="Q36" s="1423">
        <f>+'Exhibit F'!R31+'Exhibit G State'!R24</f>
        <v>6.5000000000000036</v>
      </c>
      <c r="R36" s="1424"/>
      <c r="S36" s="1423">
        <f>+'Exhibit F'!T31+'Exhibit G State'!T24</f>
        <v>10.100000000000012</v>
      </c>
      <c r="T36" s="1424"/>
      <c r="U36" s="1423">
        <f>+'Exhibit F'!V31+'Exhibit G State'!V24</f>
        <v>6.5</v>
      </c>
      <c r="V36" s="1424"/>
      <c r="W36" s="1423"/>
      <c r="X36" s="1424"/>
      <c r="Y36" s="1423"/>
      <c r="Z36" s="1424"/>
      <c r="AA36" s="2720"/>
      <c r="AB36" s="3083">
        <f t="shared" si="3"/>
        <v>87.7</v>
      </c>
      <c r="AC36" s="3042"/>
      <c r="AD36" s="3333"/>
      <c r="AE36" s="3083">
        <f>+'Exhibit F'!AF31+'Exhibit G State'!AG24</f>
        <v>76.400000000000006</v>
      </c>
      <c r="AF36" s="3294"/>
      <c r="AG36" s="3294"/>
      <c r="AH36" s="1979">
        <f t="shared" si="4"/>
        <v>11.3</v>
      </c>
      <c r="AI36" s="2423"/>
      <c r="AJ36" s="1797">
        <f>ROUND(SUM(+AH36/ABS(AE36)),3)</f>
        <v>0.14799999999999999</v>
      </c>
    </row>
    <row r="37" spans="1:36" ht="15">
      <c r="A37" s="2210" t="s">
        <v>1010</v>
      </c>
      <c r="B37" s="1424"/>
      <c r="C37" s="1423">
        <f>+'Exhibit F'!D32+'Exhibit G State'!D25</f>
        <v>23</v>
      </c>
      <c r="D37" s="1423"/>
      <c r="E37" s="1423">
        <f>+'Exhibit F'!F32+'Exhibit G State'!F25</f>
        <v>21.799999999999997</v>
      </c>
      <c r="F37" s="1423"/>
      <c r="G37" s="1423">
        <f>+'Exhibit F'!H32+'Exhibit G State'!H25</f>
        <v>21.700000000000003</v>
      </c>
      <c r="H37" s="1423"/>
      <c r="I37" s="1423">
        <f>+'Exhibit F'!J32+'Exhibit G State'!J25</f>
        <v>29.700000000000003</v>
      </c>
      <c r="J37" s="1423"/>
      <c r="K37" s="1423">
        <f>+'Exhibit F'!L32+'Exhibit G State'!L25</f>
        <v>22.700000000000003</v>
      </c>
      <c r="L37" s="1424"/>
      <c r="M37" s="1423">
        <f>+'Exhibit F'!N32+'Exhibit G State'!N25</f>
        <v>25.299999999999983</v>
      </c>
      <c r="N37" s="1424"/>
      <c r="O37" s="1423">
        <f>+'Exhibit F'!P32+'Exhibit G State'!P25</f>
        <v>23.100000000000023</v>
      </c>
      <c r="P37" s="1424"/>
      <c r="Q37" s="1423">
        <f>+'Exhibit F'!R32+'Exhibit G State'!R25</f>
        <v>23.299999999999997</v>
      </c>
      <c r="R37" s="1424"/>
      <c r="S37" s="1423">
        <f>+'Exhibit F'!T32+'Exhibit G State'!T25</f>
        <v>24.200000000000003</v>
      </c>
      <c r="T37" s="1424"/>
      <c r="U37" s="1423">
        <f>+'Exhibit F'!V32+'Exhibit G State'!V25</f>
        <v>30.5</v>
      </c>
      <c r="V37" s="1424"/>
      <c r="W37" s="1423"/>
      <c r="X37" s="1424"/>
      <c r="Y37" s="1423"/>
      <c r="Z37" s="1424"/>
      <c r="AA37" s="2720"/>
      <c r="AB37" s="3083">
        <f t="shared" si="3"/>
        <v>245.3</v>
      </c>
      <c r="AC37" s="3042"/>
      <c r="AD37" s="3333"/>
      <c r="AE37" s="3083">
        <f>+'Exhibit F'!AF32+'Exhibit G State'!AG25</f>
        <v>238.4</v>
      </c>
      <c r="AF37" s="3294"/>
      <c r="AG37" s="3294"/>
      <c r="AH37" s="1979">
        <f t="shared" si="4"/>
        <v>6.9</v>
      </c>
      <c r="AI37" s="2423"/>
      <c r="AJ37" s="1797">
        <f>ROUND(SUM(+AH37/ABS(AE37)),3)</f>
        <v>2.9000000000000001E-2</v>
      </c>
    </row>
    <row r="38" spans="1:36" ht="15">
      <c r="A38" s="2210" t="s">
        <v>1011</v>
      </c>
      <c r="B38" s="1424"/>
      <c r="C38" s="1423">
        <f>+'Exhibit F'!D33+'Exhibit G State'!D26</f>
        <v>0.1</v>
      </c>
      <c r="D38" s="1423"/>
      <c r="E38" s="1423">
        <f>+'Exhibit F'!F33+'Exhibit G State'!F26</f>
        <v>0</v>
      </c>
      <c r="F38" s="1423"/>
      <c r="G38" s="1423">
        <f>+'Exhibit F'!H33+'Exhibit G State'!H26</f>
        <v>0</v>
      </c>
      <c r="H38" s="1423"/>
      <c r="I38" s="1423">
        <f>+'Exhibit F'!J33+'Exhibit G State'!J26</f>
        <v>0.1</v>
      </c>
      <c r="J38" s="1423"/>
      <c r="K38" s="1423">
        <f>+'Exhibit F'!L33+'Exhibit G State'!L26</f>
        <v>0</v>
      </c>
      <c r="L38" s="1424"/>
      <c r="M38" s="1423">
        <f>+'Exhibit F'!N33+'Exhibit G State'!N26</f>
        <v>9.9999999999999978E-2</v>
      </c>
      <c r="N38" s="1424"/>
      <c r="O38" s="1423">
        <f>+'Exhibit F'!P33+'Exhibit G State'!P26</f>
        <v>0.20000000000000007</v>
      </c>
      <c r="P38" s="1424"/>
      <c r="Q38" s="1423">
        <f>+'Exhibit F'!R33+'Exhibit G State'!R26</f>
        <v>0.69999999999999984</v>
      </c>
      <c r="R38" s="1424"/>
      <c r="S38" s="1423">
        <f>+'Exhibit F'!T33+'Exhibit G State'!T26</f>
        <v>0.29999999999999982</v>
      </c>
      <c r="T38" s="1424"/>
      <c r="U38" s="1423">
        <f>+'Exhibit F'!V33+'Exhibit G State'!V26</f>
        <v>0.20000000000000007</v>
      </c>
      <c r="V38" s="1424"/>
      <c r="W38" s="1423"/>
      <c r="X38" s="1424"/>
      <c r="Y38" s="1423"/>
      <c r="Z38" s="1424"/>
      <c r="AA38" s="2720"/>
      <c r="AB38" s="3083">
        <f t="shared" si="3"/>
        <v>1.7</v>
      </c>
      <c r="AC38" s="3042"/>
      <c r="AD38" s="3333"/>
      <c r="AE38" s="3083">
        <f>+'Exhibit F'!AF33+'Exhibit G State'!AG26</f>
        <v>0.4</v>
      </c>
      <c r="AF38" s="3294"/>
      <c r="AG38" s="3294"/>
      <c r="AH38" s="1979">
        <f t="shared" si="4"/>
        <v>1.3</v>
      </c>
      <c r="AI38" s="2423"/>
      <c r="AJ38" s="1708">
        <f>ROUND(IF(AE38=0,1,AH38/ABS(AE38)),3)</f>
        <v>3.25</v>
      </c>
    </row>
    <row r="39" spans="1:36" ht="15">
      <c r="A39" s="2210" t="s">
        <v>1325</v>
      </c>
      <c r="B39" s="1424"/>
      <c r="C39" s="1423">
        <f>'Exhibit F'!D34+'Exhibit G'!D27</f>
        <v>0.2</v>
      </c>
      <c r="D39" s="1423"/>
      <c r="E39" s="1423">
        <f>'Exhibit F'!F34+'Exhibit G'!F27</f>
        <v>0</v>
      </c>
      <c r="F39" s="1423"/>
      <c r="G39" s="1423">
        <f>'Exhibit F'!H34+'Exhibit G'!H27</f>
        <v>6.6</v>
      </c>
      <c r="H39" s="1423"/>
      <c r="I39" s="1423">
        <f>'Exhibit F'!J34+'Exhibit G'!J27</f>
        <v>0.20000000000000018</v>
      </c>
      <c r="J39" s="1423"/>
      <c r="K39" s="1423">
        <f>'Exhibit F'!L34+'Exhibit G'!L27</f>
        <v>0</v>
      </c>
      <c r="L39" s="1424"/>
      <c r="M39" s="1423">
        <f>'Exhibit F'!N34+'Exhibit G'!N27</f>
        <v>7.8000000000000016</v>
      </c>
      <c r="N39" s="1424"/>
      <c r="O39" s="1423">
        <f>'Exhibit F'!P34+'Exhibit G'!P27</f>
        <v>0</v>
      </c>
      <c r="P39" s="1424"/>
      <c r="Q39" s="1423">
        <f>'Exhibit F'!R34+'Exhibit G'!R27</f>
        <v>9.9999999999999645E-2</v>
      </c>
      <c r="R39" s="1424"/>
      <c r="S39" s="1423">
        <f>'Exhibit F'!T34+'Exhibit G'!T27</f>
        <v>7.7</v>
      </c>
      <c r="T39" s="1424"/>
      <c r="U39" s="1423">
        <f>'Exhibit F'!V34+'Exhibit G'!V27</f>
        <v>9.9999999999997868E-2</v>
      </c>
      <c r="V39" s="1424"/>
      <c r="W39" s="1423"/>
      <c r="X39" s="1424"/>
      <c r="Y39" s="1423"/>
      <c r="Z39" s="1424"/>
      <c r="AA39" s="2720"/>
      <c r="AB39" s="3083">
        <f>ROUND(SUM(C39:Y39),1)</f>
        <v>22.7</v>
      </c>
      <c r="AC39" s="3042"/>
      <c r="AD39" s="3333"/>
      <c r="AE39" s="3083">
        <f>+'Exhibit F'!AF34+'Exhibit G State'!AG27</f>
        <v>25.5</v>
      </c>
      <c r="AF39" s="3294"/>
      <c r="AG39" s="3294"/>
      <c r="AH39" s="1979">
        <f>ROUND(SUM(+AB39-AE39),1)</f>
        <v>-2.8</v>
      </c>
      <c r="AI39" s="2423"/>
      <c r="AJ39" s="1708">
        <f>ROUND(IF(AE39=0,1,AH39/ABS(AE39)),3)</f>
        <v>-0.11</v>
      </c>
    </row>
    <row r="40" spans="1:36" ht="15">
      <c r="A40" s="2210" t="s">
        <v>1326</v>
      </c>
      <c r="B40" s="1424"/>
      <c r="C40" s="1423">
        <f>'Exhibit F'!D35</f>
        <v>6.7</v>
      </c>
      <c r="D40" s="1423"/>
      <c r="E40" s="1423">
        <f>'Exhibit F'!F35</f>
        <v>9.9999999999999645E-2</v>
      </c>
      <c r="F40" s="1423"/>
      <c r="G40" s="1423">
        <f>'Exhibit F'!H35</f>
        <v>0</v>
      </c>
      <c r="H40" s="1423"/>
      <c r="I40" s="1423">
        <f>'Exhibit F'!J35</f>
        <v>7.5000000000000009</v>
      </c>
      <c r="J40" s="1423"/>
      <c r="K40" s="1423">
        <f>'Exhibit F'!L35</f>
        <v>0</v>
      </c>
      <c r="L40" s="1424"/>
      <c r="M40" s="1423">
        <f>'Exhibit F'!N35</f>
        <v>0</v>
      </c>
      <c r="N40" s="1424"/>
      <c r="O40" s="1423">
        <f>'Exhibit F'!P35</f>
        <v>5.2</v>
      </c>
      <c r="P40" s="1424"/>
      <c r="Q40" s="1423">
        <f>'Exhibit F'!R35</f>
        <v>0</v>
      </c>
      <c r="R40" s="1424"/>
      <c r="S40" s="1423">
        <f>'Exhibit F'!T35</f>
        <v>0</v>
      </c>
      <c r="T40" s="1424"/>
      <c r="U40" s="1423">
        <f>'Exhibit F'!V35</f>
        <v>9.0000000000000036</v>
      </c>
      <c r="V40" s="1424"/>
      <c r="W40" s="1423"/>
      <c r="X40" s="1424"/>
      <c r="Y40" s="1423"/>
      <c r="Z40" s="1424"/>
      <c r="AA40" s="2720"/>
      <c r="AB40" s="3083">
        <f t="shared" ref="AB40" si="5">ROUND(SUM(C40:Y40),1)</f>
        <v>28.5</v>
      </c>
      <c r="AC40" s="3042"/>
      <c r="AD40" s="3333"/>
      <c r="AE40" s="3083">
        <f>+'Exhibit F'!AF35</f>
        <v>29.9</v>
      </c>
      <c r="AF40" s="3294"/>
      <c r="AG40" s="3294"/>
      <c r="AH40" s="1979">
        <f t="shared" ref="AH40" si="6">ROUND(SUM(+AB40-AE40),1)</f>
        <v>-1.4</v>
      </c>
      <c r="AI40" s="2423"/>
      <c r="AJ40" s="1708">
        <f>ROUND(IF(AE40=0,1,AH40/ABS(AE40)),3)</f>
        <v>-4.7E-2</v>
      </c>
    </row>
    <row r="41" spans="1:36" ht="15.6">
      <c r="A41" s="2428" t="s">
        <v>1005</v>
      </c>
      <c r="B41" s="1424"/>
      <c r="C41" s="2021">
        <f>ROUND(SUM(C32:C40),1)</f>
        <v>1434.2</v>
      </c>
      <c r="D41" s="1424"/>
      <c r="E41" s="2021">
        <f>ROUND(SUM(E32:E40),1)</f>
        <v>1369.6</v>
      </c>
      <c r="F41" s="1424"/>
      <c r="G41" s="2021">
        <f>ROUND(SUM(G32:G40),1)</f>
        <v>1846.7</v>
      </c>
      <c r="H41" s="1424"/>
      <c r="I41" s="2021">
        <f>ROUND(SUM(I32:I40),1)</f>
        <v>1516.2</v>
      </c>
      <c r="J41" s="1424"/>
      <c r="K41" s="2021">
        <f>ROUND(SUM(K32:K40),1)</f>
        <v>1456.6</v>
      </c>
      <c r="L41" s="1424"/>
      <c r="M41" s="2021">
        <f>ROUND(SUM(M32:M40),1)</f>
        <v>1874.6</v>
      </c>
      <c r="N41" s="1424"/>
      <c r="O41" s="1444">
        <f>ROUND(SUM(O32:O40),1)</f>
        <v>1471.1</v>
      </c>
      <c r="P41" s="1424"/>
      <c r="Q41" s="2021">
        <f>ROUND(SUM(Q32:Q40),1)</f>
        <v>1492.3</v>
      </c>
      <c r="R41" s="1424"/>
      <c r="S41" s="2021">
        <f>ROUND(SUM(S32:S40),1)</f>
        <v>1887.2</v>
      </c>
      <c r="T41" s="1424"/>
      <c r="U41" s="2021">
        <f>ROUND(SUM(U32:U40),1)</f>
        <v>1599.8</v>
      </c>
      <c r="V41" s="1424"/>
      <c r="W41" s="2021">
        <f>ROUND(SUM(W32:W40),1)</f>
        <v>0</v>
      </c>
      <c r="X41" s="1424"/>
      <c r="Y41" s="2021">
        <f>ROUND(SUM(Y32:Y40),1)</f>
        <v>0</v>
      </c>
      <c r="Z41" s="1424"/>
      <c r="AA41" s="2720"/>
      <c r="AB41" s="1444">
        <f>ROUND(SUM(AB32:AB40),1)</f>
        <v>15948.3</v>
      </c>
      <c r="AC41" s="3042"/>
      <c r="AD41" s="3333"/>
      <c r="AE41" s="1444">
        <f>ROUND(SUM(AE32:AE40),1)</f>
        <v>13054.7</v>
      </c>
      <c r="AF41" s="3294"/>
      <c r="AG41" s="3294"/>
      <c r="AH41" s="1444">
        <f>ROUND(SUM(AH32:AH40),1)</f>
        <v>2893.6</v>
      </c>
      <c r="AI41" s="3297"/>
      <c r="AJ41" s="2503">
        <f>ROUND(SUM(+AH41/ABS(AE41)),3)</f>
        <v>0.222</v>
      </c>
    </row>
    <row r="42" spans="1:36" ht="15">
      <c r="A42" s="2418" t="s">
        <v>1051</v>
      </c>
      <c r="B42" s="1424"/>
      <c r="C42" s="1424"/>
      <c r="D42" s="1424"/>
      <c r="E42" s="1424"/>
      <c r="F42" s="1424"/>
      <c r="G42" s="1424"/>
      <c r="H42" s="1424"/>
      <c r="I42" s="1424"/>
      <c r="J42" s="1424"/>
      <c r="K42" s="1424"/>
      <c r="L42" s="1424"/>
      <c r="M42" s="1424"/>
      <c r="N42" s="1424"/>
      <c r="O42" s="3042"/>
      <c r="P42" s="1424"/>
      <c r="Q42" s="1424"/>
      <c r="R42" s="1424"/>
      <c r="S42" s="1424"/>
      <c r="T42" s="1424"/>
      <c r="U42" s="1424"/>
      <c r="V42" s="1424"/>
      <c r="W42" s="1424"/>
      <c r="X42" s="1424"/>
      <c r="Y42" s="1424"/>
      <c r="Z42" s="1424"/>
      <c r="AA42" s="2720"/>
      <c r="AB42" s="3042"/>
      <c r="AC42" s="3042"/>
      <c r="AD42" s="3333"/>
      <c r="AE42" s="3083"/>
      <c r="AF42" s="3294"/>
      <c r="AG42" s="3294"/>
      <c r="AH42" s="3296"/>
      <c r="AI42" s="3042"/>
      <c r="AJ42" s="3296"/>
    </row>
    <row r="43" spans="1:36" ht="15">
      <c r="A43" s="2210" t="s">
        <v>1013</v>
      </c>
      <c r="B43" s="1424"/>
      <c r="C43" s="1423">
        <f>+'Exhibit F'!D38+'Exhibit G State'!D30</f>
        <v>768.4</v>
      </c>
      <c r="D43" s="1423"/>
      <c r="E43" s="1423">
        <f>+'Exhibit F'!F38+'Exhibit G State'!F30</f>
        <v>106.00000000000006</v>
      </c>
      <c r="F43" s="1423"/>
      <c r="G43" s="1423">
        <f>+'Exhibit F'!H38+'Exhibit G State'!H30</f>
        <v>1452.1</v>
      </c>
      <c r="H43" s="1423"/>
      <c r="I43" s="1423">
        <f>+'Exhibit F'!J38+'Exhibit G State'!J30</f>
        <v>274.00000000000011</v>
      </c>
      <c r="J43" s="1423"/>
      <c r="K43" s="1423">
        <f>+'Exhibit F'!L38+'Exhibit G State'!L30</f>
        <v>28.500000000000114</v>
      </c>
      <c r="L43" s="1423"/>
      <c r="M43" s="1423">
        <f>+'Exhibit F'!N38+'Exhibit G State'!N30</f>
        <v>1477.1</v>
      </c>
      <c r="N43" s="1424"/>
      <c r="O43" s="1423">
        <f>+'Exhibit F'!P38+'Exhibit G State'!P30</f>
        <v>91.999999999999773</v>
      </c>
      <c r="P43" s="1424"/>
      <c r="Q43" s="1423">
        <f>+'Exhibit F'!R38+'Exhibit G State'!R30</f>
        <v>-50.299999999999955</v>
      </c>
      <c r="R43" s="1424"/>
      <c r="S43" s="1423">
        <f>+'Exhibit F'!T38+'Exhibit G State'!T30</f>
        <v>1316.5999999999997</v>
      </c>
      <c r="T43" s="1424"/>
      <c r="U43" s="1423">
        <f>+'Exhibit F'!V38+'Exhibit G State'!V30</f>
        <v>226.20000000000027</v>
      </c>
      <c r="V43" s="1424"/>
      <c r="W43" s="1423"/>
      <c r="X43" s="1424"/>
      <c r="Y43" s="1423"/>
      <c r="Z43" s="1424"/>
      <c r="AA43" s="2720"/>
      <c r="AB43" s="3083">
        <f t="shared" ref="AB43:AB48" si="7">ROUND(SUM(C43:Y43),1)</f>
        <v>5690.6</v>
      </c>
      <c r="AC43" s="3042"/>
      <c r="AD43" s="3333"/>
      <c r="AE43" s="3083">
        <f>+'Exhibit F'!AF38+'Exhibit G State'!AG30</f>
        <v>3601</v>
      </c>
      <c r="AF43" s="3294"/>
      <c r="AG43" s="3294"/>
      <c r="AH43" s="1979">
        <f t="shared" ref="AH43:AH55" si="8">ROUND(SUM(+AB43-AE43),1)</f>
        <v>2089.6</v>
      </c>
      <c r="AI43" s="2423"/>
      <c r="AJ43" s="1797">
        <f t="shared" ref="AJ43:AJ49" si="9">ROUND(SUM(+AH43/ABS(AE43)),3)</f>
        <v>0.57999999999999996</v>
      </c>
    </row>
    <row r="44" spans="1:36" ht="15">
      <c r="A44" s="2210" t="s">
        <v>1014</v>
      </c>
      <c r="B44" s="1424"/>
      <c r="C44" s="1423">
        <f>+'Exhibit G State'!D31+'Exhibit F'!D39</f>
        <v>47.900000000000006</v>
      </c>
      <c r="D44" s="1423"/>
      <c r="E44" s="1423">
        <f>+'Exhibit G State'!F31+'Exhibit F'!F39</f>
        <v>1.0999999999999979</v>
      </c>
      <c r="F44" s="1423"/>
      <c r="G44" s="1423">
        <f>+'Exhibit G State'!H31+'Exhibit F'!H39</f>
        <v>81.800000000000011</v>
      </c>
      <c r="H44" s="1423"/>
      <c r="I44" s="1423">
        <f>+'Exhibit G State'!J31+'Exhibit F'!J39</f>
        <v>-6.1999999999999993</v>
      </c>
      <c r="J44" s="1423"/>
      <c r="K44" s="1423">
        <f>+'Exhibit G State'!L31+'Exhibit F'!L39</f>
        <v>-0.90000000000000924</v>
      </c>
      <c r="L44" s="1423"/>
      <c r="M44" s="1423">
        <f>+'Exhibit G State'!N31+'Exhibit F'!N39</f>
        <v>103</v>
      </c>
      <c r="N44" s="1424"/>
      <c r="O44" s="1423">
        <f>+'Exhibit G State'!P31+'Exhibit F'!P39</f>
        <v>1.2000000000000028</v>
      </c>
      <c r="P44" s="1424"/>
      <c r="Q44" s="1423">
        <f>+'Exhibit G State'!R31+'Exhibit F'!R39</f>
        <v>0.90000000000001279</v>
      </c>
      <c r="R44" s="1424"/>
      <c r="S44" s="1423">
        <f>+'Exhibit G State'!T31+'Exhibit F'!T39</f>
        <v>99.100000000000009</v>
      </c>
      <c r="T44" s="1424"/>
      <c r="U44" s="1423">
        <f>+'Exhibit G State'!V31+'Exhibit F'!V39</f>
        <v>-0.90000000000003411</v>
      </c>
      <c r="V44" s="1424"/>
      <c r="W44" s="1423"/>
      <c r="X44" s="1424"/>
      <c r="Y44" s="1423"/>
      <c r="Z44" s="1424"/>
      <c r="AA44" s="2720"/>
      <c r="AB44" s="3083">
        <f t="shared" si="7"/>
        <v>327</v>
      </c>
      <c r="AC44" s="3042"/>
      <c r="AD44" s="3333"/>
      <c r="AE44" s="3083">
        <f>+'Exhibit G State'!AG31+'Exhibit F'!AF39</f>
        <v>355.8</v>
      </c>
      <c r="AF44" s="3294"/>
      <c r="AG44" s="3294"/>
      <c r="AH44" s="1979">
        <f t="shared" si="8"/>
        <v>-28.8</v>
      </c>
      <c r="AI44" s="2423"/>
      <c r="AJ44" s="1797">
        <f t="shared" si="9"/>
        <v>-8.1000000000000003E-2</v>
      </c>
    </row>
    <row r="45" spans="1:36" ht="15">
      <c r="A45" s="2210" t="s">
        <v>1015</v>
      </c>
      <c r="B45" s="1424"/>
      <c r="C45" s="1423">
        <f>+'Exhibit F'!D40+'Exhibit G State'!D32</f>
        <v>64.2</v>
      </c>
      <c r="D45" s="1423"/>
      <c r="E45" s="1423">
        <f>+'Exhibit F'!F40+'Exhibit G State'!F32</f>
        <v>57.3</v>
      </c>
      <c r="F45" s="1423"/>
      <c r="G45" s="1423">
        <f>+'Exhibit F'!H40+'Exhibit G State'!H32</f>
        <v>373.2</v>
      </c>
      <c r="H45" s="1423"/>
      <c r="I45" s="1423">
        <f>+'Exhibit F'!J40+'Exhibit G State'!J32</f>
        <v>15.900000000000034</v>
      </c>
      <c r="J45" s="1423"/>
      <c r="K45" s="1423">
        <f>+'Exhibit F'!L40+'Exhibit G State'!L32</f>
        <v>52.800000000000011</v>
      </c>
      <c r="L45" s="1423"/>
      <c r="M45" s="1423">
        <f>+'Exhibit F'!N40+'Exhibit G State'!N32</f>
        <v>453.60000000000014</v>
      </c>
      <c r="N45" s="1424"/>
      <c r="O45" s="1423">
        <f>+'Exhibit F'!P40+'Exhibit G State'!P32</f>
        <v>19.699999999999946</v>
      </c>
      <c r="P45" s="1424"/>
      <c r="Q45" s="1423">
        <f>+'Exhibit F'!R40+'Exhibit G State'!R32</f>
        <v>38.200000000000003</v>
      </c>
      <c r="R45" s="1424"/>
      <c r="S45" s="1423">
        <f>+'Exhibit F'!T40+'Exhibit G State'!T32</f>
        <v>436</v>
      </c>
      <c r="T45" s="1424"/>
      <c r="U45" s="1423">
        <f>+'Exhibit F'!V40+'Exhibit G State'!V32</f>
        <v>17.30000000000004</v>
      </c>
      <c r="V45" s="1424"/>
      <c r="W45" s="1423"/>
      <c r="X45" s="1424"/>
      <c r="Y45" s="1423"/>
      <c r="Z45" s="1424"/>
      <c r="AA45" s="2720"/>
      <c r="AB45" s="3083">
        <f t="shared" si="7"/>
        <v>1528.2</v>
      </c>
      <c r="AC45" s="3042"/>
      <c r="AD45" s="3333"/>
      <c r="AE45" s="3083">
        <f>+'Exhibit F'!AF40+'Exhibit G State'!AG32</f>
        <v>1330.6999999999998</v>
      </c>
      <c r="AF45" s="3294"/>
      <c r="AG45" s="3294"/>
      <c r="AH45" s="1979">
        <f t="shared" si="8"/>
        <v>197.5</v>
      </c>
      <c r="AI45" s="2423"/>
      <c r="AJ45" s="1797">
        <f t="shared" si="9"/>
        <v>0.14799999999999999</v>
      </c>
    </row>
    <row r="46" spans="1:36" ht="15">
      <c r="A46" s="2210" t="s">
        <v>1016</v>
      </c>
      <c r="B46" s="1424"/>
      <c r="C46" s="1423">
        <f>+'Exhibit F'!D41+'Exhibit G State'!D33</f>
        <v>17.3</v>
      </c>
      <c r="D46" s="1423"/>
      <c r="E46" s="1423">
        <f>+'Exhibit F'!F41+'Exhibit G State'!F33</f>
        <v>-20.099999999999998</v>
      </c>
      <c r="F46" s="1423"/>
      <c r="G46" s="1423">
        <f>+'Exhibit F'!H41+'Exhibit G State'!H33</f>
        <v>10.199999999999998</v>
      </c>
      <c r="H46" s="1423"/>
      <c r="I46" s="1423">
        <f>+'Exhibit F'!J41+'Exhibit G State'!J33</f>
        <v>0.20000000000000107</v>
      </c>
      <c r="J46" s="1423"/>
      <c r="K46" s="1423">
        <f>+'Exhibit F'!L41+'Exhibit G State'!L33</f>
        <v>0</v>
      </c>
      <c r="L46" s="1423"/>
      <c r="M46" s="1423">
        <f>+'Exhibit F'!N41+'Exhibit G State'!N33</f>
        <v>-0.70000000000000107</v>
      </c>
      <c r="N46" s="1424"/>
      <c r="O46" s="1423">
        <f>+'Exhibit F'!P41+'Exhibit G State'!P33</f>
        <v>9.5</v>
      </c>
      <c r="P46" s="1424"/>
      <c r="Q46" s="1423">
        <f>+'Exhibit F'!R41+'Exhibit G State'!R33</f>
        <v>-0.49999999999999822</v>
      </c>
      <c r="R46" s="1424"/>
      <c r="S46" s="1423">
        <f>+'Exhibit F'!T41+'Exhibit G State'!T33</f>
        <v>0.29999999999999716</v>
      </c>
      <c r="T46" s="1424"/>
      <c r="U46" s="1423">
        <f>+'Exhibit F'!V41+'Exhibit G State'!V33</f>
        <v>0</v>
      </c>
      <c r="V46" s="1424"/>
      <c r="W46" s="1423"/>
      <c r="X46" s="1424"/>
      <c r="Y46" s="1423"/>
      <c r="Z46" s="1424"/>
      <c r="AA46" s="2720"/>
      <c r="AB46" s="3083">
        <f t="shared" si="7"/>
        <v>16.2</v>
      </c>
      <c r="AC46" s="3042"/>
      <c r="AD46" s="3333"/>
      <c r="AE46" s="3083">
        <f>+'Exhibit F'!AF41+'Exhibit G State'!AG33</f>
        <v>155.5</v>
      </c>
      <c r="AF46" s="3294"/>
      <c r="AG46" s="3294"/>
      <c r="AH46" s="1979">
        <f t="shared" si="8"/>
        <v>-139.30000000000001</v>
      </c>
      <c r="AI46" s="2423"/>
      <c r="AJ46" s="1808">
        <f t="shared" si="9"/>
        <v>-0.89600000000000002</v>
      </c>
    </row>
    <row r="47" spans="1:36" ht="15">
      <c r="A47" s="2210" t="s">
        <v>1538</v>
      </c>
      <c r="B47" s="1424"/>
      <c r="C47" s="1423">
        <f>+'Exhibit F'!D42+'Exhibit H'!B22</f>
        <v>0</v>
      </c>
      <c r="D47" s="1423"/>
      <c r="E47" s="1423">
        <f>+'Exhibit F'!F42</f>
        <v>0</v>
      </c>
      <c r="F47" s="1423"/>
      <c r="G47" s="1423">
        <f>+'Exhibit F'!H42</f>
        <v>0</v>
      </c>
      <c r="H47" s="1423"/>
      <c r="I47" s="1423">
        <f>+'Exhibit F'!J42</f>
        <v>0</v>
      </c>
      <c r="J47" s="1423"/>
      <c r="K47" s="1423">
        <f>+'Exhibit F'!L42</f>
        <v>0</v>
      </c>
      <c r="L47" s="1423"/>
      <c r="M47" s="1423">
        <f>+'Exhibit F'!N42</f>
        <v>0</v>
      </c>
      <c r="N47" s="1424"/>
      <c r="O47" s="1423">
        <f>+'Exhibit F'!P42</f>
        <v>0</v>
      </c>
      <c r="P47" s="1424"/>
      <c r="Q47" s="1423">
        <f>+'Exhibit F'!R42</f>
        <v>0</v>
      </c>
      <c r="R47" s="1424"/>
      <c r="S47" s="1423">
        <f>+'Exhibit F'!T42+'Exhibit H'!R22</f>
        <v>10163.4</v>
      </c>
      <c r="T47" s="1424"/>
      <c r="U47" s="1423">
        <f>+'Exhibit F'!V42+'Exhibit H'!T22</f>
        <v>897.30000000000109</v>
      </c>
      <c r="V47" s="1424"/>
      <c r="W47" s="1423"/>
      <c r="X47" s="1424"/>
      <c r="Y47" s="1423"/>
      <c r="Z47" s="1424"/>
      <c r="AA47" s="2720"/>
      <c r="AB47" s="3083">
        <f t="shared" si="7"/>
        <v>11060.7</v>
      </c>
      <c r="AC47" s="3042"/>
      <c r="AD47" s="3333"/>
      <c r="AE47" s="3083">
        <f>+'Exhibit F'!AF42</f>
        <v>0</v>
      </c>
      <c r="AF47" s="3294"/>
      <c r="AG47" s="3294"/>
      <c r="AH47" s="1979">
        <f t="shared" si="8"/>
        <v>11060.7</v>
      </c>
      <c r="AI47" s="2423"/>
      <c r="AJ47" s="1703">
        <f>ROUND(IF(AE47=0,1,AH47/ABS(AE47)),3)</f>
        <v>1</v>
      </c>
    </row>
    <row r="48" spans="1:36" ht="15">
      <c r="A48" s="2210" t="s">
        <v>1017</v>
      </c>
      <c r="B48" s="1424"/>
      <c r="C48" s="1423">
        <f>+'Exhibit F'!D43+'Exhibit G State'!D34</f>
        <v>30.7</v>
      </c>
      <c r="D48" s="1423"/>
      <c r="E48" s="1423">
        <f>+'Exhibit F'!F43+'Exhibit G State'!F34</f>
        <v>39.799999999999997</v>
      </c>
      <c r="F48" s="1423"/>
      <c r="G48" s="1423">
        <f>+'Exhibit F'!H43+'Exhibit G State'!H34</f>
        <v>40.599999999999994</v>
      </c>
      <c r="H48" s="1423"/>
      <c r="I48" s="1423">
        <f>+'Exhibit F'!J43+'Exhibit G State'!J34</f>
        <v>43.700000000000017</v>
      </c>
      <c r="J48" s="1423"/>
      <c r="K48" s="1423">
        <f>+'Exhibit F'!L43+'Exhibit G State'!L34</f>
        <v>42.2</v>
      </c>
      <c r="L48" s="1423"/>
      <c r="M48" s="1423">
        <f>+'Exhibit F'!N43+'Exhibit G State'!N34</f>
        <v>33.799999999999997</v>
      </c>
      <c r="N48" s="1424"/>
      <c r="O48" s="1423">
        <f>+'Exhibit F'!P43+'Exhibit G State'!P34</f>
        <v>40.699999999999989</v>
      </c>
      <c r="P48" s="1424"/>
      <c r="Q48" s="1423">
        <f>+'Exhibit F'!R43+'Exhibit G State'!R34</f>
        <v>40.5</v>
      </c>
      <c r="R48" s="1424"/>
      <c r="S48" s="1423">
        <f>+'Exhibit F'!T43+'Exhibit G State'!T34</f>
        <v>34.000000000000014</v>
      </c>
      <c r="T48" s="1424"/>
      <c r="U48" s="1423">
        <f>+'Exhibit F'!V43+'Exhibit G State'!V34</f>
        <v>38.099999999999952</v>
      </c>
      <c r="V48" s="1424"/>
      <c r="W48" s="1423"/>
      <c r="X48" s="1424"/>
      <c r="Y48" s="1423"/>
      <c r="Z48" s="1424"/>
      <c r="AA48" s="2720"/>
      <c r="AB48" s="3083">
        <f t="shared" si="7"/>
        <v>384.1</v>
      </c>
      <c r="AC48" s="3042"/>
      <c r="AD48" s="3333"/>
      <c r="AE48" s="3083">
        <f>+'Exhibit F'!AF43+'Exhibit G State'!AG34</f>
        <v>352.5</v>
      </c>
      <c r="AF48" s="3294"/>
      <c r="AG48" s="3294"/>
      <c r="AH48" s="1979">
        <f t="shared" si="8"/>
        <v>31.6</v>
      </c>
      <c r="AI48" s="2423"/>
      <c r="AJ48" s="1797">
        <f t="shared" si="9"/>
        <v>0.09</v>
      </c>
    </row>
    <row r="49" spans="1:36" ht="15.6">
      <c r="A49" s="2428" t="s">
        <v>1012</v>
      </c>
      <c r="B49" s="1424"/>
      <c r="C49" s="2021">
        <f>ROUND(SUM(C43:C48),1)</f>
        <v>928.5</v>
      </c>
      <c r="D49" s="1424"/>
      <c r="E49" s="2021">
        <f>ROUND(SUM(E43:E48),1)</f>
        <v>184.1</v>
      </c>
      <c r="F49" s="1424"/>
      <c r="G49" s="2021">
        <f>ROUND(SUM(G43:G48),1)</f>
        <v>1957.9</v>
      </c>
      <c r="H49" s="1424"/>
      <c r="I49" s="2021">
        <f>ROUND(SUM(I43:I48),1)</f>
        <v>327.60000000000002</v>
      </c>
      <c r="J49" s="1424"/>
      <c r="K49" s="2021">
        <f>ROUND(SUM(K43:K48),1)</f>
        <v>122.6</v>
      </c>
      <c r="L49" s="1424"/>
      <c r="M49" s="2021">
        <f>ROUND(SUM(M43:M48),1)</f>
        <v>2066.8000000000002</v>
      </c>
      <c r="N49" s="1424"/>
      <c r="O49" s="1444">
        <f>ROUND(SUM(O43:O48),1)</f>
        <v>163.1</v>
      </c>
      <c r="P49" s="1424"/>
      <c r="Q49" s="2021">
        <f>ROUND(SUM(Q43:Q48),1)</f>
        <v>28.8</v>
      </c>
      <c r="R49" s="1424"/>
      <c r="S49" s="2021">
        <f>ROUND(SUM(S43:S48),1)</f>
        <v>12049.4</v>
      </c>
      <c r="T49" s="1424"/>
      <c r="U49" s="2021">
        <f>ROUND(SUM(U43:U48),1)</f>
        <v>1178</v>
      </c>
      <c r="V49" s="1424"/>
      <c r="W49" s="2021">
        <f>ROUND(SUM(W43:W48),1)</f>
        <v>0</v>
      </c>
      <c r="X49" s="1424"/>
      <c r="Y49" s="2021">
        <f>ROUND(SUM(Y43:Y48),1)</f>
        <v>0</v>
      </c>
      <c r="Z49" s="1424"/>
      <c r="AA49" s="2720"/>
      <c r="AB49" s="1444">
        <f>ROUND(SUM(AB43:AB48),1)</f>
        <v>19006.8</v>
      </c>
      <c r="AC49" s="3042"/>
      <c r="AD49" s="3333"/>
      <c r="AE49" s="1444">
        <f>ROUND(SUM(AE43:AE48),1)</f>
        <v>5795.5</v>
      </c>
      <c r="AF49" s="3294"/>
      <c r="AG49" s="3294"/>
      <c r="AH49" s="1444">
        <f>ROUND(SUM(AH43:AH48),1)</f>
        <v>13211.3</v>
      </c>
      <c r="AI49" s="3297"/>
      <c r="AJ49" s="2503">
        <f t="shared" si="9"/>
        <v>2.2799999999999998</v>
      </c>
    </row>
    <row r="50" spans="1:36" ht="15">
      <c r="A50" s="2418" t="s">
        <v>1052</v>
      </c>
      <c r="B50" s="1424"/>
      <c r="C50" s="1424"/>
      <c r="D50" s="1424"/>
      <c r="E50" s="1424"/>
      <c r="F50" s="1424"/>
      <c r="G50" s="1424"/>
      <c r="H50" s="1424"/>
      <c r="I50" s="1424"/>
      <c r="J50" s="1424"/>
      <c r="K50" s="1424"/>
      <c r="L50" s="1424"/>
      <c r="M50" s="1424"/>
      <c r="N50" s="1424"/>
      <c r="O50" s="3042"/>
      <c r="P50" s="1424"/>
      <c r="Q50" s="1424"/>
      <c r="R50" s="1424"/>
      <c r="S50" s="1424"/>
      <c r="T50" s="1424"/>
      <c r="U50" s="1424"/>
      <c r="V50" s="1424"/>
      <c r="W50" s="1424"/>
      <c r="X50" s="1424"/>
      <c r="Y50" s="1424"/>
      <c r="Z50" s="1424"/>
      <c r="AA50" s="2720"/>
      <c r="AB50" s="3042"/>
      <c r="AC50" s="3042"/>
      <c r="AD50" s="3333"/>
      <c r="AE50" s="3083"/>
      <c r="AF50" s="3294"/>
      <c r="AG50" s="3294"/>
      <c r="AH50" s="3296"/>
      <c r="AI50" s="3042"/>
      <c r="AJ50" s="3296"/>
    </row>
    <row r="51" spans="1:36" ht="15">
      <c r="A51" s="2210" t="s">
        <v>1020</v>
      </c>
      <c r="B51" s="1424"/>
      <c r="C51" s="1423">
        <f>+'Exhibit F'!D46</f>
        <v>0</v>
      </c>
      <c r="D51" s="1423"/>
      <c r="E51" s="1423">
        <f>+'Exhibit F'!F46</f>
        <v>0</v>
      </c>
      <c r="F51" s="1423"/>
      <c r="G51" s="1423">
        <f>+'Exhibit F'!H46</f>
        <v>0</v>
      </c>
      <c r="H51" s="1423"/>
      <c r="I51" s="1423">
        <f>+'Exhibit F'!J46</f>
        <v>0</v>
      </c>
      <c r="J51" s="1423"/>
      <c r="K51" s="1423">
        <f>+'Exhibit F'!L46</f>
        <v>0</v>
      </c>
      <c r="L51" s="1424"/>
      <c r="M51" s="1423">
        <f>+'Exhibit F'!N46</f>
        <v>0</v>
      </c>
      <c r="N51" s="1424"/>
      <c r="O51" s="1423">
        <f>+'Exhibit F'!P46</f>
        <v>0</v>
      </c>
      <c r="P51" s="1424"/>
      <c r="Q51" s="1423">
        <f>+'Exhibit F'!R46</f>
        <v>0</v>
      </c>
      <c r="R51" s="1424"/>
      <c r="S51" s="1423">
        <f>+'Exhibit F'!T46</f>
        <v>0</v>
      </c>
      <c r="T51" s="1424"/>
      <c r="U51" s="1423">
        <f>+'Exhibit F'!V46</f>
        <v>0</v>
      </c>
      <c r="V51" s="1424"/>
      <c r="W51" s="1423"/>
      <c r="X51" s="1424"/>
      <c r="Y51" s="1423"/>
      <c r="Z51" s="1424"/>
      <c r="AA51" s="2720"/>
      <c r="AB51" s="3083">
        <f t="shared" ref="AB51:AB55" si="10">ROUND(SUM(C51:Y51),1)</f>
        <v>0</v>
      </c>
      <c r="AC51" s="3042"/>
      <c r="AD51" s="3333"/>
      <c r="AE51" s="3083">
        <f>+'Exhibit F'!AF46</f>
        <v>0</v>
      </c>
      <c r="AF51" s="3294"/>
      <c r="AG51" s="3294"/>
      <c r="AH51" s="1979">
        <f t="shared" si="8"/>
        <v>0</v>
      </c>
      <c r="AI51" s="3042"/>
      <c r="AJ51" s="1703">
        <f>ROUND(IF(AE51=0,0,AH51/ABS(AE51)),3)</f>
        <v>0</v>
      </c>
    </row>
    <row r="52" spans="1:36" ht="15">
      <c r="A52" s="2210" t="s">
        <v>1021</v>
      </c>
      <c r="B52" s="1424"/>
      <c r="C52" s="1423">
        <f>+'Exhibit F'!D47</f>
        <v>119.8</v>
      </c>
      <c r="D52" s="1423"/>
      <c r="E52" s="1423">
        <f>+'Exhibit F'!F47</f>
        <v>117.00000000000001</v>
      </c>
      <c r="F52" s="1423"/>
      <c r="G52" s="1423">
        <f>+'Exhibit F'!H47</f>
        <v>108.89999999999996</v>
      </c>
      <c r="H52" s="1423"/>
      <c r="I52" s="1423">
        <f>+'Exhibit F'!J47</f>
        <v>103.10000000000004</v>
      </c>
      <c r="J52" s="1423"/>
      <c r="K52" s="1423">
        <f>+'Exhibit F'!L47</f>
        <v>100.59999999999998</v>
      </c>
      <c r="L52" s="1424"/>
      <c r="M52" s="1423">
        <f>+'Exhibit F'!N47</f>
        <v>108.70000000000012</v>
      </c>
      <c r="N52" s="1424"/>
      <c r="O52" s="1423">
        <f>+'Exhibit F'!P47</f>
        <v>183.19999999999993</v>
      </c>
      <c r="P52" s="1424"/>
      <c r="Q52" s="1423">
        <f>+'Exhibit F'!R47</f>
        <v>92.500000000000014</v>
      </c>
      <c r="R52" s="1424"/>
      <c r="S52" s="1423">
        <f>+'Exhibit F'!T47</f>
        <v>111.10000000000015</v>
      </c>
      <c r="T52" s="1424"/>
      <c r="U52" s="1423">
        <f>+'Exhibit F'!V47</f>
        <v>123.59999999999987</v>
      </c>
      <c r="V52" s="1424"/>
      <c r="W52" s="1423"/>
      <c r="X52" s="1424"/>
      <c r="Y52" s="1423"/>
      <c r="Z52" s="1424"/>
      <c r="AA52" s="2720"/>
      <c r="AB52" s="3083">
        <f t="shared" si="10"/>
        <v>1168.5</v>
      </c>
      <c r="AC52" s="3042"/>
      <c r="AD52" s="3333"/>
      <c r="AE52" s="3083">
        <f>+'Exhibit F'!AF47</f>
        <v>1250</v>
      </c>
      <c r="AF52" s="3294"/>
      <c r="AG52" s="3294"/>
      <c r="AH52" s="1979">
        <f t="shared" si="8"/>
        <v>-81.5</v>
      </c>
      <c r="AI52" s="3042"/>
      <c r="AJ52" s="1797">
        <f t="shared" ref="AJ52:AJ57" si="11">ROUND(SUM(+AH52/ABS(AE52)),3)</f>
        <v>-6.5000000000000002E-2</v>
      </c>
    </row>
    <row r="53" spans="1:36" ht="15">
      <c r="A53" s="2210" t="s">
        <v>1022</v>
      </c>
      <c r="B53" s="1424"/>
      <c r="C53" s="1423">
        <f>+'Exhibit F'!D48</f>
        <v>1.3</v>
      </c>
      <c r="D53" s="1423"/>
      <c r="E53" s="1423">
        <f>+'Exhibit F'!F48</f>
        <v>1.0999999999999999</v>
      </c>
      <c r="F53" s="1423"/>
      <c r="G53" s="1423">
        <f>+'Exhibit F'!H48</f>
        <v>1.1000000000000003</v>
      </c>
      <c r="H53" s="1423"/>
      <c r="I53" s="1423">
        <f>+'Exhibit F'!J48</f>
        <v>1.0999999999999999</v>
      </c>
      <c r="J53" s="1423"/>
      <c r="K53" s="1423">
        <f>+'Exhibit F'!L48</f>
        <v>2.1000000000000005</v>
      </c>
      <c r="L53" s="1424"/>
      <c r="M53" s="1423">
        <f>+'Exhibit F'!N48</f>
        <v>1.7000000000000004</v>
      </c>
      <c r="N53" s="1424"/>
      <c r="O53" s="1423">
        <f>+'Exhibit F'!P48</f>
        <v>0.99999999999999933</v>
      </c>
      <c r="P53" s="1424"/>
      <c r="Q53" s="1423">
        <f>+'Exhibit F'!R48</f>
        <v>1.0999999999999999</v>
      </c>
      <c r="R53" s="1424"/>
      <c r="S53" s="1423">
        <f>+'Exhibit F'!T48</f>
        <v>0.80000000000000093</v>
      </c>
      <c r="T53" s="1424"/>
      <c r="U53" s="1423">
        <f>+'Exhibit F'!V48</f>
        <v>0.79999999999999893</v>
      </c>
      <c r="V53" s="1424"/>
      <c r="W53" s="1423"/>
      <c r="X53" s="1424"/>
      <c r="Y53" s="1423"/>
      <c r="Z53" s="1424"/>
      <c r="AA53" s="2720"/>
      <c r="AB53" s="3083">
        <f t="shared" si="10"/>
        <v>12.1</v>
      </c>
      <c r="AC53" s="3042"/>
      <c r="AD53" s="3333"/>
      <c r="AE53" s="3083">
        <f>+'Exhibit F'!AF48</f>
        <v>8.6999999999999993</v>
      </c>
      <c r="AF53" s="3294"/>
      <c r="AG53" s="3294"/>
      <c r="AH53" s="1979">
        <f t="shared" si="8"/>
        <v>3.4</v>
      </c>
      <c r="AI53" s="3042"/>
      <c r="AJ53" s="1797">
        <f t="shared" si="11"/>
        <v>0.39100000000000001</v>
      </c>
    </row>
    <row r="54" spans="1:36" ht="15">
      <c r="A54" s="2210" t="s">
        <v>1023</v>
      </c>
      <c r="B54" s="1424"/>
      <c r="C54" s="1423">
        <f>+'Exhibit F'!D49+'Exhibit H'!B25</f>
        <v>97.4</v>
      </c>
      <c r="D54" s="1423"/>
      <c r="E54" s="1423">
        <f>+'Exhibit F'!F49+'Exhibit H'!D25</f>
        <v>110</v>
      </c>
      <c r="F54" s="1423"/>
      <c r="G54" s="1423">
        <f>+'Exhibit F'!H49+'Exhibit H'!F25</f>
        <v>115.1</v>
      </c>
      <c r="H54" s="1423"/>
      <c r="I54" s="1423">
        <f>+'Exhibit F'!J49+'Exhibit H'!H25</f>
        <v>132.00000000000003</v>
      </c>
      <c r="J54" s="1423"/>
      <c r="K54" s="1423">
        <f>+'Exhibit F'!L49+'Exhibit H'!J25</f>
        <v>139.99999999999997</v>
      </c>
      <c r="L54" s="1424"/>
      <c r="M54" s="1423">
        <f>+'Exhibit F'!N49+'Exhibit H'!L25</f>
        <v>133.29999999999998</v>
      </c>
      <c r="N54" s="1424"/>
      <c r="O54" s="1423">
        <f>+'Exhibit F'!P49+'Exhibit H'!N25</f>
        <v>132.1</v>
      </c>
      <c r="P54" s="1424"/>
      <c r="Q54" s="1423">
        <f>+'Exhibit F'!R49+'Exhibit H'!P25</f>
        <v>119.39999999999998</v>
      </c>
      <c r="R54" s="1424"/>
      <c r="S54" s="1423">
        <f>+'Exhibit F'!T49+'Exhibit H'!R25</f>
        <v>134.79999999999998</v>
      </c>
      <c r="T54" s="1424"/>
      <c r="U54" s="1423">
        <f>+'Exhibit F'!V49+'Exhibit H'!T25</f>
        <v>167.19999999999993</v>
      </c>
      <c r="V54" s="1424"/>
      <c r="W54" s="1423"/>
      <c r="X54" s="1424"/>
      <c r="Y54" s="1423"/>
      <c r="Z54" s="1424"/>
      <c r="AA54" s="2720"/>
      <c r="AB54" s="3083">
        <f t="shared" si="10"/>
        <v>1281.3</v>
      </c>
      <c r="AC54" s="3042"/>
      <c r="AD54" s="3333"/>
      <c r="AE54" s="3083">
        <f>+'Exhibit F'!AF49+'Exhibit I State'!AG28+'Exhibit H'!AD25</f>
        <v>674</v>
      </c>
      <c r="AF54" s="3294"/>
      <c r="AG54" s="3294"/>
      <c r="AH54" s="1979">
        <f t="shared" si="8"/>
        <v>607.29999999999995</v>
      </c>
      <c r="AI54" s="3042"/>
      <c r="AJ54" s="1797">
        <f t="shared" si="11"/>
        <v>0.90100000000000002</v>
      </c>
    </row>
    <row r="55" spans="1:36" ht="15">
      <c r="A55" s="2210" t="s">
        <v>1541</v>
      </c>
      <c r="B55" s="1424"/>
      <c r="C55" s="1423">
        <f>+'Exhibit F'!D50</f>
        <v>0</v>
      </c>
      <c r="D55" s="1423"/>
      <c r="E55" s="1423">
        <f>+'Exhibit F'!F50</f>
        <v>0</v>
      </c>
      <c r="F55" s="1423"/>
      <c r="G55" s="1423">
        <f>+'Exhibit F'!H50</f>
        <v>0</v>
      </c>
      <c r="H55" s="1423"/>
      <c r="I55" s="1423">
        <f>+'Exhibit F'!J50</f>
        <v>0</v>
      </c>
      <c r="J55" s="1423"/>
      <c r="K55" s="1423">
        <f>+'Exhibit F'!L50</f>
        <v>0.1</v>
      </c>
      <c r="L55" s="1424"/>
      <c r="M55" s="1423">
        <f>+'Exhibit F'!N50</f>
        <v>0.19999999999999998</v>
      </c>
      <c r="N55" s="1424"/>
      <c r="O55" s="1423">
        <f>+'Exhibit F'!P50</f>
        <v>0.10000000000000003</v>
      </c>
      <c r="P55" s="1424"/>
      <c r="Q55" s="1423">
        <f>+'Exhibit F'!R50</f>
        <v>0.79999999999999993</v>
      </c>
      <c r="R55" s="1424"/>
      <c r="S55" s="1423">
        <f>+'Exhibit F'!T50</f>
        <v>9.9999999999999867E-2</v>
      </c>
      <c r="T55" s="1424"/>
      <c r="U55" s="1423">
        <f>+'Exhibit F'!V50</f>
        <v>0.1</v>
      </c>
      <c r="V55" s="1424"/>
      <c r="W55" s="1423"/>
      <c r="X55" s="1424"/>
      <c r="Y55" s="1423"/>
      <c r="Z55" s="1424"/>
      <c r="AA55" s="2720"/>
      <c r="AB55" s="3083">
        <f t="shared" si="10"/>
        <v>1.4</v>
      </c>
      <c r="AC55" s="3042"/>
      <c r="AD55" s="3333"/>
      <c r="AE55" s="3083">
        <f>+'Exhibit F'!AF50</f>
        <v>0.1</v>
      </c>
      <c r="AF55" s="3294"/>
      <c r="AG55" s="3294"/>
      <c r="AH55" s="1979">
        <f t="shared" si="8"/>
        <v>1.3</v>
      </c>
      <c r="AI55" s="3042"/>
      <c r="AJ55" s="1808">
        <f>ROUND(IF(AE55=0,0,AH55/ABS(AE55)),3)</f>
        <v>13</v>
      </c>
    </row>
    <row r="56" spans="1:36" ht="15">
      <c r="A56" s="2722" t="s">
        <v>1270</v>
      </c>
      <c r="B56" s="1424"/>
      <c r="C56" s="1423">
        <f>+'Exhibit F'!D51+'Exhibit H'!B26</f>
        <v>0.2</v>
      </c>
      <c r="D56" s="1423"/>
      <c r="E56" s="1423">
        <f>+'Exhibit F'!F51+'Exhibit H'!D26</f>
        <v>0.2</v>
      </c>
      <c r="F56" s="1423"/>
      <c r="G56" s="1423">
        <f>+'Exhibit F'!H51+'Exhibit H'!F26</f>
        <v>0.19999999999999996</v>
      </c>
      <c r="H56" s="1423"/>
      <c r="I56" s="1423">
        <f>+'Exhibit F'!J51+'Exhibit H'!H26</f>
        <v>0.40000000000000013</v>
      </c>
      <c r="J56" s="1423"/>
      <c r="K56" s="1423">
        <f>+'Exhibit F'!L51+'Exhibit H'!J26</f>
        <v>0.29999999999999993</v>
      </c>
      <c r="L56" s="1423"/>
      <c r="M56" s="1423">
        <f>+'Exhibit F'!N51+'Exhibit H'!L26</f>
        <v>0.30000000000000016</v>
      </c>
      <c r="N56" s="1423"/>
      <c r="O56" s="1423">
        <f>+'Exhibit F'!P51+'Exhibit H'!N26</f>
        <v>0.39999999999999991</v>
      </c>
      <c r="P56" s="1424"/>
      <c r="Q56" s="1423">
        <f>+'Exhibit F'!R51+'Exhibit H'!P26</f>
        <v>0.29999999999999971</v>
      </c>
      <c r="R56" s="1424"/>
      <c r="S56" s="1423">
        <f>+'Exhibit F'!T51+'Exhibit H'!R26</f>
        <v>4.8999999999999995</v>
      </c>
      <c r="T56" s="1424"/>
      <c r="U56" s="1423">
        <f>+'Exhibit F'!V51+'Exhibit H'!T26</f>
        <v>5.1000000000000032</v>
      </c>
      <c r="V56" s="1424"/>
      <c r="W56" s="1423"/>
      <c r="X56" s="1424"/>
      <c r="Y56" s="1423"/>
      <c r="Z56" s="1424"/>
      <c r="AA56" s="2720"/>
      <c r="AB56" s="3083">
        <f t="shared" ref="AB56" si="12">ROUND(SUM(C56:Y56),1)</f>
        <v>12.3</v>
      </c>
      <c r="AC56" s="3042"/>
      <c r="AD56" s="3333"/>
      <c r="AE56" s="3085">
        <f>+'Exhibit F'!AF51+'Exhibit H'!AD26</f>
        <v>2.8</v>
      </c>
      <c r="AF56" s="3294"/>
      <c r="AG56" s="3294"/>
      <c r="AH56" s="1979">
        <f t="shared" ref="AH56" si="13">ROUND(SUM(+AB56-AE56),1)</f>
        <v>9.5</v>
      </c>
      <c r="AI56" s="2423"/>
      <c r="AJ56" s="1703">
        <f>ROUND(IF(AE56=0,1,AH56/ABS(AE56)),3)</f>
        <v>3.3929999999999998</v>
      </c>
    </row>
    <row r="57" spans="1:36" ht="15.6">
      <c r="A57" s="2428" t="s">
        <v>1018</v>
      </c>
      <c r="B57" s="1424"/>
      <c r="C57" s="1444">
        <f>ROUND(SUM(C51:C56),1)</f>
        <v>218.7</v>
      </c>
      <c r="D57" s="1424"/>
      <c r="E57" s="1444">
        <f>ROUND(SUM(E51:E56),1)</f>
        <v>228.3</v>
      </c>
      <c r="F57" s="1424"/>
      <c r="G57" s="1444">
        <f>ROUND(SUM(G51:G56),1)</f>
        <v>225.3</v>
      </c>
      <c r="H57" s="1424"/>
      <c r="I57" s="1444">
        <f>ROUND(SUM(I51:I56),1)</f>
        <v>236.6</v>
      </c>
      <c r="J57" s="1424"/>
      <c r="K57" s="1444">
        <f>ROUND(SUM(K51:K56),1)</f>
        <v>243.1</v>
      </c>
      <c r="L57" s="1424"/>
      <c r="M57" s="1444">
        <f>ROUND(SUM(M51:M56),1)</f>
        <v>244.2</v>
      </c>
      <c r="N57" s="1424"/>
      <c r="O57" s="1444">
        <f>ROUND(SUM(O51:O56),1)</f>
        <v>316.8</v>
      </c>
      <c r="P57" s="1424"/>
      <c r="Q57" s="1444">
        <f>ROUND(SUM(Q51:Q56),1)</f>
        <v>214.1</v>
      </c>
      <c r="R57" s="1424"/>
      <c r="S57" s="1444">
        <f>ROUND(SUM(S51:S56),1)</f>
        <v>251.7</v>
      </c>
      <c r="T57" s="1424"/>
      <c r="U57" s="1444">
        <f>ROUND(SUM(U51:U56),1)</f>
        <v>296.8</v>
      </c>
      <c r="V57" s="1424"/>
      <c r="W57" s="1444">
        <f>ROUND(SUM(W51:W56),1)</f>
        <v>0</v>
      </c>
      <c r="X57" s="1424"/>
      <c r="Y57" s="1444">
        <f>ROUND(SUM(Y51:Y56),1)</f>
        <v>0</v>
      </c>
      <c r="Z57" s="1424"/>
      <c r="AA57" s="2720"/>
      <c r="AB57" s="1444">
        <f>ROUND(SUM(AB51:AB56),1)</f>
        <v>2475.6</v>
      </c>
      <c r="AC57" s="3042"/>
      <c r="AD57" s="3333"/>
      <c r="AE57" s="1444">
        <f>ROUND(SUM(AE51:AE56),1)</f>
        <v>1935.6</v>
      </c>
      <c r="AF57" s="3294"/>
      <c r="AG57" s="3294"/>
      <c r="AH57" s="1444">
        <f>ROUND(SUM(AH51:AH56),1)</f>
        <v>540</v>
      </c>
      <c r="AI57" s="3297"/>
      <c r="AJ57" s="1799">
        <f t="shared" si="11"/>
        <v>0.27900000000000003</v>
      </c>
    </row>
    <row r="58" spans="1:36" ht="15.6">
      <c r="A58" s="1424"/>
      <c r="B58" s="1424"/>
      <c r="C58" s="2723"/>
      <c r="D58" s="1423"/>
      <c r="E58" s="2723"/>
      <c r="F58" s="2723"/>
      <c r="G58" s="2723"/>
      <c r="H58" s="2723"/>
      <c r="I58" s="2723"/>
      <c r="J58" s="2723"/>
      <c r="K58" s="2723"/>
      <c r="L58" s="2723"/>
      <c r="M58" s="2723"/>
      <c r="N58" s="2723"/>
      <c r="O58" s="3085"/>
      <c r="P58" s="2723"/>
      <c r="Q58" s="2723"/>
      <c r="R58" s="2723"/>
      <c r="S58" s="2723"/>
      <c r="T58" s="2723"/>
      <c r="U58" s="2723"/>
      <c r="V58" s="2723"/>
      <c r="W58" s="2723"/>
      <c r="X58" s="2723"/>
      <c r="Y58" s="2723"/>
      <c r="Z58" s="1423"/>
      <c r="AA58" s="2724"/>
      <c r="AB58" s="3084"/>
      <c r="AC58" s="3083"/>
      <c r="AD58" s="3334"/>
      <c r="AE58" s="3085"/>
      <c r="AF58" s="3085"/>
      <c r="AG58" s="3085"/>
      <c r="AH58" s="3085"/>
      <c r="AI58" s="3042"/>
      <c r="AJ58" s="1800"/>
    </row>
    <row r="59" spans="1:36" ht="15.6">
      <c r="A59" s="2428" t="s">
        <v>992</v>
      </c>
      <c r="B59" s="2001"/>
      <c r="C59" s="17">
        <f>ROUND(SUM(C57+C49+C41+C30),1)</f>
        <v>9107.2000000000007</v>
      </c>
      <c r="D59" s="1985"/>
      <c r="E59" s="17">
        <f>ROUND(SUM(E57+E49+E41+E30),1)</f>
        <v>11615</v>
      </c>
      <c r="F59" s="1985"/>
      <c r="G59" s="17">
        <f>ROUND(SUM(G57+G49+G41+G30),1)</f>
        <v>9850.5</v>
      </c>
      <c r="H59" s="1985"/>
      <c r="I59" s="17">
        <f>ROUND(SUM(I57+I49+I41+I30),1)</f>
        <v>5445</v>
      </c>
      <c r="J59" s="1985"/>
      <c r="K59" s="17">
        <f>ROUND(SUM(K57+K49+K41+K30),1)</f>
        <v>5623.7</v>
      </c>
      <c r="L59" s="1985"/>
      <c r="M59" s="17">
        <f>ROUND(SUM(M57+M49+M41+M30),1)</f>
        <v>10635.4</v>
      </c>
      <c r="N59" s="1985"/>
      <c r="O59" s="1631">
        <f>ROUND(SUM(O57+O49+O41+O30),1)</f>
        <v>5327.4</v>
      </c>
      <c r="P59" s="1985"/>
      <c r="Q59" s="17">
        <f>ROUND(SUM(Q57+Q49+Q41+Q30),1)</f>
        <v>5316.3</v>
      </c>
      <c r="R59" s="1985"/>
      <c r="S59" s="17">
        <f>ROUND(SUM(S57+S49+S41+S30),1)</f>
        <v>20474.599999999999</v>
      </c>
      <c r="T59" s="1985"/>
      <c r="U59" s="17">
        <f>ROUND(SUM(U57+U49+U41+U30),1)</f>
        <v>13507.6</v>
      </c>
      <c r="V59" s="1985"/>
      <c r="W59" s="17">
        <f>ROUND(SUM(W57+W49+W41+W30),1)</f>
        <v>0</v>
      </c>
      <c r="X59" s="1447"/>
      <c r="Y59" s="17">
        <f>ROUND(SUM(Y57+Y49+Y41+Y30),1)</f>
        <v>0</v>
      </c>
      <c r="Z59" s="1447"/>
      <c r="AA59" s="2022"/>
      <c r="AB59" s="3335">
        <f>ROUND(SUM(C59:Y59),1)</f>
        <v>96902.7</v>
      </c>
      <c r="AC59" s="1974"/>
      <c r="AD59" s="2018"/>
      <c r="AE59" s="1962">
        <f>ROUND(SUM(+AE30+AE41+AE49+AE57),1)</f>
        <v>67037</v>
      </c>
      <c r="AF59" s="1956"/>
      <c r="AG59" s="3097"/>
      <c r="AH59" s="1962">
        <f>ROUND(+AB59-AE59,1)</f>
        <v>29865.7</v>
      </c>
      <c r="AI59" s="2020"/>
      <c r="AJ59" s="3298">
        <f>ROUND(SUM(+AH59/ABS(AE59)),3)</f>
        <v>0.44600000000000001</v>
      </c>
    </row>
    <row r="60" spans="1:36" ht="15">
      <c r="A60" s="1424"/>
      <c r="B60" s="1424"/>
      <c r="C60" s="1423"/>
      <c r="D60" s="1423"/>
      <c r="E60" s="1423"/>
      <c r="F60" s="1423"/>
      <c r="G60" s="1423"/>
      <c r="H60" s="1423"/>
      <c r="I60" s="1423"/>
      <c r="J60" s="1423"/>
      <c r="K60" s="1423"/>
      <c r="L60" s="1423"/>
      <c r="M60" s="1423"/>
      <c r="N60" s="1423"/>
      <c r="O60" s="3083"/>
      <c r="P60" s="1423"/>
      <c r="Q60" s="1423"/>
      <c r="R60" s="1423"/>
      <c r="S60" s="1423"/>
      <c r="T60" s="1423"/>
      <c r="U60" s="1423"/>
      <c r="V60" s="1423"/>
      <c r="W60" s="1423"/>
      <c r="X60" s="1423"/>
      <c r="Y60" s="1423"/>
      <c r="Z60" s="1423"/>
      <c r="AA60" s="2724"/>
      <c r="AB60" s="3083"/>
      <c r="AC60" s="3083"/>
      <c r="AD60" s="3334"/>
      <c r="AE60" s="3083"/>
      <c r="AF60" s="3085"/>
      <c r="AG60" s="3085"/>
      <c r="AH60" s="3083"/>
      <c r="AI60" s="3042"/>
      <c r="AJ60" s="1797"/>
    </row>
    <row r="61" spans="1:36" ht="15.6">
      <c r="A61" s="2417" t="s">
        <v>929</v>
      </c>
      <c r="B61" s="1424"/>
      <c r="C61" s="1423"/>
      <c r="D61" s="1423"/>
      <c r="E61" s="1423"/>
      <c r="F61" s="1423"/>
      <c r="G61" s="1423"/>
      <c r="H61" s="1423"/>
      <c r="I61" s="1423"/>
      <c r="J61" s="1423"/>
      <c r="K61" s="1423"/>
      <c r="L61" s="1423"/>
      <c r="M61" s="1423"/>
      <c r="N61" s="1423"/>
      <c r="O61" s="3083"/>
      <c r="P61" s="1423"/>
      <c r="Q61" s="1423"/>
      <c r="R61" s="1423"/>
      <c r="S61" s="1423"/>
      <c r="T61" s="1423"/>
      <c r="U61" s="1423"/>
      <c r="V61" s="1423"/>
      <c r="W61" s="1423"/>
      <c r="X61" s="1423"/>
      <c r="Y61" s="1423"/>
      <c r="Z61" s="1423"/>
      <c r="AA61" s="2725"/>
      <c r="AB61" s="3083"/>
      <c r="AC61" s="3083"/>
      <c r="AD61" s="3334"/>
      <c r="AE61" s="3083"/>
      <c r="AF61" s="3085"/>
      <c r="AG61" s="3085"/>
      <c r="AH61" s="3083"/>
      <c r="AI61" s="3042"/>
      <c r="AJ61" s="1703"/>
    </row>
    <row r="62" spans="1:36" ht="15">
      <c r="A62" s="2440" t="s">
        <v>1044</v>
      </c>
      <c r="B62" s="1424"/>
      <c r="C62" s="1423"/>
      <c r="D62" s="1423"/>
      <c r="E62" s="1423"/>
      <c r="F62" s="1423"/>
      <c r="G62" s="1423"/>
      <c r="H62" s="1423"/>
      <c r="I62" s="1423"/>
      <c r="J62" s="1423"/>
      <c r="K62" s="1423"/>
      <c r="L62" s="1423"/>
      <c r="M62" s="1423"/>
      <c r="N62" s="1423"/>
      <c r="O62" s="3083"/>
      <c r="P62" s="1423"/>
      <c r="Q62" s="1423"/>
      <c r="R62" s="1423"/>
      <c r="S62" s="1423"/>
      <c r="T62" s="1423"/>
      <c r="U62" s="1423"/>
      <c r="V62" s="1423"/>
      <c r="W62" s="1423"/>
      <c r="X62" s="1423"/>
      <c r="Y62" s="1423"/>
      <c r="Z62" s="1423"/>
      <c r="AA62" s="2725"/>
      <c r="AB62" s="3083"/>
      <c r="AC62" s="3083"/>
      <c r="AD62" s="3334"/>
      <c r="AE62" s="3083"/>
      <c r="AF62" s="3085"/>
      <c r="AG62" s="3085"/>
      <c r="AH62" s="3083"/>
      <c r="AI62" s="3042"/>
      <c r="AJ62" s="1703"/>
    </row>
    <row r="63" spans="1:36" ht="15">
      <c r="A63" s="2440" t="s">
        <v>927</v>
      </c>
      <c r="B63" s="1424"/>
      <c r="C63" s="1423">
        <f>+'Exhibit F'!D58+'Exhibit G State'!D41</f>
        <v>1.3</v>
      </c>
      <c r="D63" s="1423"/>
      <c r="E63" s="1423">
        <f>+'Exhibit F'!F58+'Exhibit G State'!F41</f>
        <v>0.99999999999999989</v>
      </c>
      <c r="F63" s="1423"/>
      <c r="G63" s="1423">
        <f>+'Exhibit F'!H58+'Exhibit G State'!H41</f>
        <v>0.80000000000000038</v>
      </c>
      <c r="H63" s="1423"/>
      <c r="I63" s="1423">
        <f>+'Exhibit F'!J58+'Exhibit G State'!J41</f>
        <v>0.8999999999999998</v>
      </c>
      <c r="J63" s="1423"/>
      <c r="K63" s="1423">
        <f>+'Exhibit F'!L58+'Exhibit G State'!L41</f>
        <v>10.9</v>
      </c>
      <c r="L63" s="1423"/>
      <c r="M63" s="1423">
        <f>+'Exhibit F'!N58+'Exhibit G State'!N41</f>
        <v>101.2</v>
      </c>
      <c r="N63" s="1423"/>
      <c r="O63" s="1423">
        <f>+'Exhibit F'!P58+'Exhibit G State'!P41</f>
        <v>1</v>
      </c>
      <c r="P63" s="1423"/>
      <c r="Q63" s="1423">
        <f>+'Exhibit F'!R58+'Exhibit G State'!R41</f>
        <v>226.3</v>
      </c>
      <c r="R63" s="1423"/>
      <c r="S63" s="1423">
        <f>+'Exhibit F'!T58+'Exhibit G State'!T41</f>
        <v>0.99999999999999956</v>
      </c>
      <c r="T63" s="1423"/>
      <c r="U63" s="1423">
        <f>+'Exhibit F'!V58+'Exhibit G State'!V41</f>
        <v>0.89999999999999991</v>
      </c>
      <c r="V63" s="1423"/>
      <c r="W63" s="1423"/>
      <c r="X63" s="1423"/>
      <c r="Y63" s="1423"/>
      <c r="Z63" s="1423"/>
      <c r="AA63" s="2725"/>
      <c r="AB63" s="3083">
        <f>ROUND(SUM(C63:Y63),1)</f>
        <v>345.3</v>
      </c>
      <c r="AC63" s="3083"/>
      <c r="AD63" s="3334"/>
      <c r="AE63" s="3083">
        <f>+'Exhibit F'!AF58+'Exhibit G State'!AG41</f>
        <v>380.6</v>
      </c>
      <c r="AF63" s="3085"/>
      <c r="AG63" s="3085"/>
      <c r="AH63" s="3083">
        <f t="shared" ref="AH63:AH104" si="14">ROUND(SUM(AB63-AE63),1)</f>
        <v>-35.299999999999997</v>
      </c>
      <c r="AI63" s="3042"/>
      <c r="AJ63" s="1797">
        <f>ROUND(SUM(AH63/ABS(AE63)),3)</f>
        <v>-9.2999999999999999E-2</v>
      </c>
    </row>
    <row r="64" spans="1:36" ht="15">
      <c r="A64" s="2440" t="s">
        <v>928</v>
      </c>
      <c r="B64" s="1424"/>
      <c r="C64" s="1423">
        <f>+'Exhibit F'!D59</f>
        <v>1</v>
      </c>
      <c r="D64" s="1423"/>
      <c r="E64" s="1423">
        <f>+'Exhibit F'!F59</f>
        <v>0.30000000000000004</v>
      </c>
      <c r="F64" s="1423"/>
      <c r="G64" s="1423">
        <f>+'Exhibit F'!H59</f>
        <v>8.1</v>
      </c>
      <c r="H64" s="1423"/>
      <c r="I64" s="1423">
        <f>+'Exhibit F'!J59</f>
        <v>2</v>
      </c>
      <c r="J64" s="1423"/>
      <c r="K64" s="1423">
        <f>+'Exhibit F'!L59</f>
        <v>0.19999999999999929</v>
      </c>
      <c r="L64" s="1423"/>
      <c r="M64" s="1423">
        <f>+'Exhibit F'!N59</f>
        <v>34.9</v>
      </c>
      <c r="N64" s="1423"/>
      <c r="O64" s="1423">
        <f>+'Exhibit F'!P59</f>
        <v>1.5000000000000053</v>
      </c>
      <c r="P64" s="1423"/>
      <c r="Q64" s="1423">
        <f>+'Exhibit F'!R59</f>
        <v>0.70000000000000107</v>
      </c>
      <c r="R64" s="1423"/>
      <c r="S64" s="1423">
        <f>+'Exhibit F'!T59</f>
        <v>29.300000000000004</v>
      </c>
      <c r="T64" s="1423"/>
      <c r="U64" s="1423">
        <f>+'Exhibit F'!V59</f>
        <v>0.89999999999999325</v>
      </c>
      <c r="V64" s="1423"/>
      <c r="W64" s="1423"/>
      <c r="X64" s="1423"/>
      <c r="Y64" s="1423"/>
      <c r="Z64" s="1423"/>
      <c r="AA64" s="2725"/>
      <c r="AB64" s="3083">
        <f>ROUND(SUM(C64:Y64),1)</f>
        <v>78.900000000000006</v>
      </c>
      <c r="AC64" s="3083"/>
      <c r="AD64" s="3334"/>
      <c r="AE64" s="3083">
        <f>+'Exhibit F'!AF59</f>
        <v>85.3</v>
      </c>
      <c r="AF64" s="3085"/>
      <c r="AG64" s="3085"/>
      <c r="AH64" s="3083">
        <f t="shared" si="14"/>
        <v>-6.4</v>
      </c>
      <c r="AI64" s="3042"/>
      <c r="AJ64" s="1797">
        <f>ROUND(SUM(AH64/ABS(AE64)),3)</f>
        <v>-7.4999999999999997E-2</v>
      </c>
    </row>
    <row r="65" spans="1:36" ht="15">
      <c r="A65" s="2440" t="s">
        <v>1045</v>
      </c>
      <c r="B65" s="1424"/>
      <c r="C65" s="1423"/>
      <c r="D65" s="1423"/>
      <c r="E65" s="1423"/>
      <c r="F65" s="1423"/>
      <c r="G65" s="1423"/>
      <c r="H65" s="1423"/>
      <c r="I65" s="1423"/>
      <c r="J65" s="1423"/>
      <c r="K65" s="1423"/>
      <c r="L65" s="1423"/>
      <c r="M65" s="1423"/>
      <c r="N65" s="1423"/>
      <c r="O65" s="1423"/>
      <c r="P65" s="1423"/>
      <c r="Q65" s="1423"/>
      <c r="R65" s="1423"/>
      <c r="S65" s="1423"/>
      <c r="T65" s="1423"/>
      <c r="U65" s="1423"/>
      <c r="V65" s="1423"/>
      <c r="W65" s="1423"/>
      <c r="X65" s="1423"/>
      <c r="Y65" s="1423"/>
      <c r="Z65" s="1423"/>
      <c r="AA65" s="2725"/>
      <c r="AB65" s="3083"/>
      <c r="AC65" s="3083"/>
      <c r="AD65" s="3334"/>
      <c r="AE65" s="3083"/>
      <c r="AF65" s="3085"/>
      <c r="AG65" s="3085"/>
      <c r="AH65" s="3083" t="s">
        <v>14</v>
      </c>
      <c r="AI65" s="3042" t="s">
        <v>14</v>
      </c>
      <c r="AJ65" s="1703" t="s">
        <v>14</v>
      </c>
    </row>
    <row r="66" spans="1:36" ht="15">
      <c r="A66" s="2440" t="s">
        <v>932</v>
      </c>
      <c r="B66" s="1424"/>
      <c r="C66" s="1423">
        <f>+'Exhibit F'!D61+'Exhibit G State'!D43</f>
        <v>63.7</v>
      </c>
      <c r="D66" s="1423"/>
      <c r="E66" s="1423">
        <f>+'Exhibit F'!F61+'Exhibit G State'!F43</f>
        <v>5.0999999999999943</v>
      </c>
      <c r="F66" s="1423"/>
      <c r="G66" s="1423">
        <f>+'Exhibit F'!H61+'Exhibit G State'!H43</f>
        <v>61.3</v>
      </c>
      <c r="H66" s="1423"/>
      <c r="I66" s="1423">
        <f>+'Exhibit F'!J61+'Exhibit G State'!J43</f>
        <v>93.499999999999986</v>
      </c>
      <c r="J66" s="1423"/>
      <c r="K66" s="1423">
        <f>+'Exhibit F'!L61+'Exhibit G State'!L43</f>
        <v>20.100000000000023</v>
      </c>
      <c r="L66" s="1423"/>
      <c r="M66" s="1423">
        <f>+'Exhibit F'!N61+'Exhibit G State'!N43</f>
        <v>29.700000000000003</v>
      </c>
      <c r="N66" s="1423"/>
      <c r="O66" s="1423">
        <f>+'Exhibit F'!P61+'Exhibit G State'!P43</f>
        <v>92.200000000000031</v>
      </c>
      <c r="P66" s="1423"/>
      <c r="Q66" s="1423">
        <f>+'Exhibit F'!R61+'Exhibit G State'!R43</f>
        <v>3.7999999999999545</v>
      </c>
      <c r="R66" s="1423"/>
      <c r="S66" s="1423">
        <f>+'Exhibit F'!T61+'Exhibit G State'!T43</f>
        <v>170.20000000000005</v>
      </c>
      <c r="T66" s="1423"/>
      <c r="U66" s="1423">
        <f>+'Exhibit F'!V61+'Exhibit G State'!V43</f>
        <v>34.399999999999977</v>
      </c>
      <c r="V66" s="1423"/>
      <c r="W66" s="1423"/>
      <c r="X66" s="1423"/>
      <c r="Y66" s="1423"/>
      <c r="Z66" s="1423"/>
      <c r="AA66" s="2725"/>
      <c r="AB66" s="3083">
        <f>ROUND(SUM(C66:Y66),1)</f>
        <v>574</v>
      </c>
      <c r="AC66" s="3083"/>
      <c r="AD66" s="3334"/>
      <c r="AE66" s="3083">
        <f>+'Exhibit F'!AF61+'Exhibit G State'!AG43</f>
        <v>557.1</v>
      </c>
      <c r="AF66" s="3085"/>
      <c r="AG66" s="3085"/>
      <c r="AH66" s="3083">
        <f t="shared" si="14"/>
        <v>16.899999999999999</v>
      </c>
      <c r="AI66" s="3042"/>
      <c r="AJ66" s="1797">
        <f>ROUND(SUM(AH66/ABS(AE66)),3)</f>
        <v>0.03</v>
      </c>
    </row>
    <row r="67" spans="1:36" ht="15">
      <c r="A67" s="2440" t="s">
        <v>933</v>
      </c>
      <c r="B67" s="1424"/>
      <c r="C67" s="1423">
        <f>+'Exhibit F'!D62+'Exhibit G State'!D44</f>
        <v>484.5</v>
      </c>
      <c r="D67" s="1423"/>
      <c r="E67" s="1423">
        <f>+'Exhibit F'!F62+'Exhibit G State'!F44</f>
        <v>533.89999999999986</v>
      </c>
      <c r="F67" s="1423"/>
      <c r="G67" s="1423">
        <f>+'Exhibit F'!H62+'Exhibit G State'!H44</f>
        <v>544.90000000000009</v>
      </c>
      <c r="H67" s="1423"/>
      <c r="I67" s="1423">
        <f>+'Exhibit F'!J62+'Exhibit G State'!J44</f>
        <v>526.30000000000018</v>
      </c>
      <c r="J67" s="1423"/>
      <c r="K67" s="1423">
        <f>+'Exhibit F'!L62+'Exhibit G State'!L44</f>
        <v>536.0999999999998</v>
      </c>
      <c r="L67" s="1423"/>
      <c r="M67" s="1423">
        <f>+'Exhibit F'!N62+'Exhibit G State'!N44</f>
        <v>530.40000000000032</v>
      </c>
      <c r="N67" s="1423"/>
      <c r="O67" s="1423">
        <f>+'Exhibit F'!P62+'Exhibit G State'!P44</f>
        <v>514.69999999999959</v>
      </c>
      <c r="P67" s="1423"/>
      <c r="Q67" s="1423">
        <f>+'Exhibit F'!R62+'Exhibit G State'!R44</f>
        <v>527.40000000000032</v>
      </c>
      <c r="R67" s="1423"/>
      <c r="S67" s="1423">
        <f>+'Exhibit F'!T62+'Exhibit G State'!T44</f>
        <v>555.09999999999923</v>
      </c>
      <c r="T67" s="1423"/>
      <c r="U67" s="1423">
        <f>+'Exhibit F'!V62+'Exhibit G State'!V44</f>
        <v>511.90000000000055</v>
      </c>
      <c r="V67" s="1423"/>
      <c r="W67" s="1423"/>
      <c r="X67" s="1423"/>
      <c r="Y67" s="1423"/>
      <c r="Z67" s="1423"/>
      <c r="AA67" s="2725"/>
      <c r="AB67" s="3083">
        <f>ROUND(SUM(C67:Y67),1)</f>
        <v>5265.2</v>
      </c>
      <c r="AC67" s="3083"/>
      <c r="AD67" s="3334"/>
      <c r="AE67" s="3083">
        <f>+'Exhibit F'!AF62+'Exhibit G State'!AG44+'Exhibit H'!AD33</f>
        <v>4924.6000000000004</v>
      </c>
      <c r="AF67" s="3085"/>
      <c r="AG67" s="3085"/>
      <c r="AH67" s="3083">
        <f t="shared" si="14"/>
        <v>340.6</v>
      </c>
      <c r="AI67" s="3042"/>
      <c r="AJ67" s="1797">
        <f>ROUND(SUM(AH67/ABS(AE67)),3)</f>
        <v>6.9000000000000006E-2</v>
      </c>
    </row>
    <row r="68" spans="1:36" ht="15">
      <c r="A68" s="2440" t="s">
        <v>934</v>
      </c>
      <c r="B68" s="1424"/>
      <c r="C68" s="1423">
        <f>+'Exhibit F'!D63+'Exhibit G State'!D45</f>
        <v>1.5</v>
      </c>
      <c r="D68" s="1423"/>
      <c r="E68" s="1423">
        <f>+'Exhibit F'!F63+'Exhibit G State'!F45</f>
        <v>0</v>
      </c>
      <c r="F68" s="1423"/>
      <c r="G68" s="1423">
        <f>+'Exhibit F'!H63+'Exhibit G State'!H45</f>
        <v>0.70000000000000018</v>
      </c>
      <c r="H68" s="1423"/>
      <c r="I68" s="1423">
        <f>+'Exhibit F'!J63+'Exhibit G State'!J45</f>
        <v>0</v>
      </c>
      <c r="J68" s="1423"/>
      <c r="K68" s="1423">
        <f>+'Exhibit F'!L63+'Exhibit G State'!L45</f>
        <v>9.9999999999999645E-2</v>
      </c>
      <c r="L68" s="1423"/>
      <c r="M68" s="1423">
        <f>+'Exhibit F'!N63+'Exhibit G State'!N45</f>
        <v>44.4</v>
      </c>
      <c r="N68" s="1423"/>
      <c r="O68" s="1423">
        <f>+'Exhibit F'!P63+'Exhibit G State'!P45</f>
        <v>-0.70000000000000284</v>
      </c>
      <c r="P68" s="1423"/>
      <c r="Q68" s="1423">
        <f>+'Exhibit F'!R63+'Exhibit G State'!R45</f>
        <v>-12.199999999999996</v>
      </c>
      <c r="R68" s="1423"/>
      <c r="S68" s="1423">
        <f>+'Exhibit F'!T63+'Exhibit G State'!T45</f>
        <v>0.79999999999999716</v>
      </c>
      <c r="T68" s="1423"/>
      <c r="U68" s="1423">
        <f>+'Exhibit F'!V63+'Exhibit G State'!V45</f>
        <v>-0.10000000000000142</v>
      </c>
      <c r="V68" s="1423"/>
      <c r="W68" s="1423"/>
      <c r="X68" s="1423"/>
      <c r="Y68" s="1423"/>
      <c r="Z68" s="1423"/>
      <c r="AA68" s="2725"/>
      <c r="AB68" s="3083">
        <f>ROUND(SUM(C68:Y68),1)</f>
        <v>34.5</v>
      </c>
      <c r="AC68" s="3083"/>
      <c r="AD68" s="3334"/>
      <c r="AE68" s="3083">
        <f>+'Exhibit F'!AF63+'Exhibit G State'!AG45</f>
        <v>39.700000000000003</v>
      </c>
      <c r="AF68" s="3085"/>
      <c r="AG68" s="3085"/>
      <c r="AH68" s="3083">
        <f t="shared" si="14"/>
        <v>-5.2</v>
      </c>
      <c r="AI68" s="3042"/>
      <c r="AJ68" s="1708">
        <f>ROUND(IF(AE68=0,0,AH68/ABS(AE68)),3)</f>
        <v>-0.13100000000000001</v>
      </c>
    </row>
    <row r="69" spans="1:36" ht="15">
      <c r="A69" s="2440" t="s">
        <v>935</v>
      </c>
      <c r="B69" s="1424"/>
      <c r="C69" s="1423">
        <f>+'Exhibit F'!D64+'Exhibit G State'!D46</f>
        <v>0</v>
      </c>
      <c r="D69" s="1423"/>
      <c r="E69" s="1423">
        <f>+'Exhibit F'!F64+'Exhibit G State'!F46</f>
        <v>0.1</v>
      </c>
      <c r="F69" s="1423"/>
      <c r="G69" s="1423">
        <f>+'Exhibit F'!H64+'Exhibit G State'!H46</f>
        <v>0</v>
      </c>
      <c r="H69" s="1423"/>
      <c r="I69" s="1423">
        <f>+'Exhibit F'!J64+'Exhibit G State'!J46</f>
        <v>0.1</v>
      </c>
      <c r="J69" s="1423"/>
      <c r="K69" s="1423">
        <f>+'Exhibit F'!L64+'Exhibit G State'!L46</f>
        <v>0.1</v>
      </c>
      <c r="L69" s="1423"/>
      <c r="M69" s="1423">
        <f>+'Exhibit F'!N64+'Exhibit G State'!N46</f>
        <v>0.1</v>
      </c>
      <c r="N69" s="1423"/>
      <c r="O69" s="1423">
        <f>+'Exhibit F'!P64+'Exhibit G State'!P46</f>
        <v>0.1</v>
      </c>
      <c r="P69" s="1423"/>
      <c r="Q69" s="1423">
        <f>+'Exhibit F'!R64+'Exhibit G State'!R46</f>
        <v>0.30000000000000004</v>
      </c>
      <c r="R69" s="1423"/>
      <c r="S69" s="1423">
        <f>+'Exhibit F'!T64+'Exhibit G State'!T46</f>
        <v>-0.20000000000000004</v>
      </c>
      <c r="T69" s="1423"/>
      <c r="U69" s="1423">
        <f>+'Exhibit F'!V64+'Exhibit G State'!V46</f>
        <v>-0.8</v>
      </c>
      <c r="V69" s="1423"/>
      <c r="W69" s="1423"/>
      <c r="X69" s="1423"/>
      <c r="Y69" s="1423"/>
      <c r="Z69" s="1423"/>
      <c r="AA69" s="2725"/>
      <c r="AB69" s="3083">
        <f>ROUND(SUM(C69:Y69),1)</f>
        <v>-0.2</v>
      </c>
      <c r="AC69" s="3083"/>
      <c r="AD69" s="3334"/>
      <c r="AE69" s="3083">
        <f>+'Exhibit F'!AF64+'Exhibit G State'!AG46</f>
        <v>0.2</v>
      </c>
      <c r="AF69" s="3085"/>
      <c r="AG69" s="3085"/>
      <c r="AH69" s="3083">
        <f t="shared" si="14"/>
        <v>-0.4</v>
      </c>
      <c r="AI69" s="3042"/>
      <c r="AJ69" s="1703">
        <f>ROUND(IF(AE69=0,0,AH69/ABS(AE69)),3)</f>
        <v>-2</v>
      </c>
    </row>
    <row r="70" spans="1:36" ht="15">
      <c r="A70" s="2440" t="s">
        <v>1049</v>
      </c>
      <c r="B70" s="1424"/>
      <c r="C70" s="1423"/>
      <c r="D70" s="1423"/>
      <c r="E70" s="1423"/>
      <c r="F70" s="1423"/>
      <c r="G70" s="1423"/>
      <c r="H70" s="1423"/>
      <c r="I70" s="1423"/>
      <c r="J70" s="1423"/>
      <c r="K70" s="1423"/>
      <c r="L70" s="1423"/>
      <c r="M70" s="1423"/>
      <c r="N70" s="1423"/>
      <c r="O70" s="1423"/>
      <c r="P70" s="1423"/>
      <c r="Q70" s="1423"/>
      <c r="R70" s="1423"/>
      <c r="S70" s="1423"/>
      <c r="T70" s="1423"/>
      <c r="U70" s="1423"/>
      <c r="V70" s="1423"/>
      <c r="W70" s="1423"/>
      <c r="X70" s="1423"/>
      <c r="Y70" s="1423"/>
      <c r="Z70" s="1423"/>
      <c r="AA70" s="2725"/>
      <c r="AB70" s="3083"/>
      <c r="AC70" s="3083"/>
      <c r="AD70" s="3334"/>
      <c r="AE70" s="3083"/>
      <c r="AF70" s="3085"/>
      <c r="AG70" s="3085"/>
      <c r="AH70" s="3083"/>
      <c r="AI70" s="3042"/>
      <c r="AJ70" s="1703"/>
    </row>
    <row r="71" spans="1:36" ht="15">
      <c r="A71" s="2440" t="s">
        <v>936</v>
      </c>
      <c r="B71" s="1424"/>
      <c r="C71" s="1423">
        <f>+'Exhibit F'!D66+'Exhibit H'!B35</f>
        <v>5.3</v>
      </c>
      <c r="D71" s="1423"/>
      <c r="E71" s="1423">
        <f>+'Exhibit F'!F66+'Exhibit H'!D35</f>
        <v>5.5000000000000009</v>
      </c>
      <c r="F71" s="1423"/>
      <c r="G71" s="1423">
        <f>+'Exhibit F'!H66+'Exhibit H'!F35</f>
        <v>6.9999999999999991</v>
      </c>
      <c r="H71" s="1423"/>
      <c r="I71" s="1423">
        <f>+'Exhibit F'!J66+'Exhibit H'!H35</f>
        <v>6.2</v>
      </c>
      <c r="J71" s="1423"/>
      <c r="K71" s="1423">
        <f>+'Exhibit F'!L66+'Exhibit H'!J35</f>
        <v>6.2</v>
      </c>
      <c r="L71" s="1423"/>
      <c r="M71" s="1423">
        <f>+'Exhibit F'!N66+'Exhibit H'!L35</f>
        <v>5.0000000000000044</v>
      </c>
      <c r="N71" s="1423"/>
      <c r="O71" s="1423">
        <f>+'Exhibit F'!P66+'Exhibit H'!N35</f>
        <v>5.5999999999999988</v>
      </c>
      <c r="P71" s="1423"/>
      <c r="Q71" s="1423">
        <f>+'Exhibit F'!R66+'Exhibit H'!P35</f>
        <v>4.3000000000000052</v>
      </c>
      <c r="R71" s="1423"/>
      <c r="S71" s="1423">
        <f>+'Exhibit F'!T66+'Exhibit H'!R35</f>
        <v>3.799999999999998</v>
      </c>
      <c r="T71" s="1423"/>
      <c r="U71" s="1423">
        <f>+'Exhibit F'!V66+'Exhibit H'!T35</f>
        <v>9.899999999999995</v>
      </c>
      <c r="V71" s="1423"/>
      <c r="W71" s="1423"/>
      <c r="X71" s="1423"/>
      <c r="Y71" s="1423"/>
      <c r="Z71" s="1423"/>
      <c r="AA71" s="2725"/>
      <c r="AB71" s="3083">
        <f t="shared" ref="AB71:AB78" si="15">ROUND(SUM(C71:Y71),1)</f>
        <v>58.8</v>
      </c>
      <c r="AC71" s="3083"/>
      <c r="AD71" s="3334"/>
      <c r="AE71" s="3083">
        <f>+'Exhibit F'!AF66+'Exhibit H'!AD35</f>
        <v>39.799999999999997</v>
      </c>
      <c r="AF71" s="3085"/>
      <c r="AG71" s="3085"/>
      <c r="AH71" s="3083">
        <f t="shared" si="14"/>
        <v>19</v>
      </c>
      <c r="AI71" s="3042"/>
      <c r="AJ71" s="1797">
        <f>ROUND(SUM(AH71/ABS(AE71)),3)</f>
        <v>0.47699999999999998</v>
      </c>
    </row>
    <row r="72" spans="1:36" ht="15">
      <c r="A72" s="2440" t="s">
        <v>1140</v>
      </c>
      <c r="B72" s="1424"/>
      <c r="C72" s="1423">
        <f>'Exhibit G State'!D48</f>
        <v>0</v>
      </c>
      <c r="D72" s="1423" t="s">
        <v>14</v>
      </c>
      <c r="E72" s="1423">
        <f>'Exhibit G State'!F48</f>
        <v>0</v>
      </c>
      <c r="F72" s="1423"/>
      <c r="G72" s="1423">
        <f>'Exhibit G State'!H48</f>
        <v>0</v>
      </c>
      <c r="H72" s="1423"/>
      <c r="I72" s="1423">
        <f>'Exhibit G State'!J48</f>
        <v>0.7</v>
      </c>
      <c r="J72" s="1423"/>
      <c r="K72" s="1423">
        <f>'Exhibit G State'!L48</f>
        <v>1.5000000000000002</v>
      </c>
      <c r="L72" s="1423"/>
      <c r="M72" s="1423">
        <f>'Exhibit G State'!N48</f>
        <v>9.9999999999999645E-2</v>
      </c>
      <c r="N72" s="1423"/>
      <c r="O72" s="1423">
        <f>'Exhibit G State'!P48</f>
        <v>0</v>
      </c>
      <c r="P72" s="1423"/>
      <c r="Q72" s="1423">
        <f>'Exhibit G State'!R48</f>
        <v>0</v>
      </c>
      <c r="R72" s="1423"/>
      <c r="S72" s="1423">
        <f>'Exhibit G State'!T48</f>
        <v>0.20000000000000018</v>
      </c>
      <c r="T72" s="1423"/>
      <c r="U72" s="1423">
        <f>'Exhibit G State'!V48</f>
        <v>0</v>
      </c>
      <c r="V72" s="1423"/>
      <c r="W72" s="1423"/>
      <c r="X72" s="1423"/>
      <c r="Y72" s="1423"/>
      <c r="Z72" s="1423"/>
      <c r="AA72" s="2724"/>
      <c r="AB72" s="3083">
        <f t="shared" si="15"/>
        <v>2.5</v>
      </c>
      <c r="AC72" s="3083"/>
      <c r="AD72" s="3334"/>
      <c r="AE72" s="3083">
        <f>'Exhibit G State'!AG48</f>
        <v>2.2000000000000002</v>
      </c>
      <c r="AF72" s="3085"/>
      <c r="AG72" s="3085"/>
      <c r="AH72" s="3083">
        <f t="shared" si="14"/>
        <v>0.3</v>
      </c>
      <c r="AI72" s="3042"/>
      <c r="AJ72" s="1703">
        <f>ROUND(IF(AE72=0,0,AH72/ABS(AE72)),3)</f>
        <v>0.13600000000000001</v>
      </c>
    </row>
    <row r="73" spans="1:36" ht="15">
      <c r="A73" s="2440" t="s">
        <v>937</v>
      </c>
      <c r="B73" s="1424"/>
      <c r="C73" s="1423">
        <f>+'Exhibit F'!D68+'Exhibit G State'!D49+'Exhibit H'!B36</f>
        <v>52.6</v>
      </c>
      <c r="D73" s="1423"/>
      <c r="E73" s="1423">
        <f>+'Exhibit F'!F68+'Exhibit G State'!F49+'Exhibit H'!D36</f>
        <v>47.4</v>
      </c>
      <c r="F73" s="1423"/>
      <c r="G73" s="1423">
        <f>+'Exhibit F'!H68+'Exhibit G State'!H49+'Exhibit H'!F36</f>
        <v>125.00000000000001</v>
      </c>
      <c r="H73" s="1423"/>
      <c r="I73" s="1423">
        <f>+'Exhibit F'!J68+'Exhibit G State'!J49+'Exhibit H'!H36</f>
        <v>50.800000000000011</v>
      </c>
      <c r="J73" s="1423"/>
      <c r="K73" s="1423">
        <f>+'Exhibit F'!L68+'Exhibit G State'!L49+'Exhibit H'!J36</f>
        <v>56.899999999999991</v>
      </c>
      <c r="L73" s="1423"/>
      <c r="M73" s="1423">
        <f>+'Exhibit F'!N68+'Exhibit G State'!N49+'Exhibit H'!L36</f>
        <v>124.19999999999999</v>
      </c>
      <c r="N73" s="1423"/>
      <c r="O73" s="1423">
        <f>+'Exhibit F'!P68+'Exhibit G State'!P49+'Exhibit H'!N36</f>
        <v>55.59999999999998</v>
      </c>
      <c r="P73" s="1423"/>
      <c r="Q73" s="1423">
        <f>+'Exhibit F'!R68+'Exhibit G State'!R49+'Exhibit H'!P36</f>
        <v>60.600000000000023</v>
      </c>
      <c r="R73" s="1423"/>
      <c r="S73" s="1423">
        <f>+'Exhibit F'!T68+'Exhibit G State'!T49+'Exhibit H'!R36</f>
        <v>124.99999999999999</v>
      </c>
      <c r="T73" s="1423"/>
      <c r="U73" s="1423">
        <f>+'Exhibit F'!V68+'Exhibit G State'!V49+'Exhibit H'!T36</f>
        <v>82.899999999999878</v>
      </c>
      <c r="V73" s="1423"/>
      <c r="W73" s="1423"/>
      <c r="X73" s="1423"/>
      <c r="Y73" s="1423"/>
      <c r="Z73" s="1423"/>
      <c r="AA73" s="2725"/>
      <c r="AB73" s="3083">
        <f t="shared" si="15"/>
        <v>781</v>
      </c>
      <c r="AC73" s="3083"/>
      <c r="AD73" s="3334"/>
      <c r="AE73" s="3083">
        <f>+'Exhibit F'!AF68+'Exhibit G State'!AG49+'Exhibit H'!AD36</f>
        <v>779.2</v>
      </c>
      <c r="AF73" s="3085"/>
      <c r="AG73" s="3085"/>
      <c r="AH73" s="3083">
        <f t="shared" si="14"/>
        <v>1.8</v>
      </c>
      <c r="AI73" s="3042"/>
      <c r="AJ73" s="1797">
        <f>ROUND(SUM(AH73/AE73),3)</f>
        <v>2E-3</v>
      </c>
    </row>
    <row r="74" spans="1:36" ht="15">
      <c r="A74" s="2440" t="s">
        <v>938</v>
      </c>
      <c r="B74" s="1424"/>
      <c r="C74" s="1423">
        <f>+'Exhibit F'!D69+'Exhibit G State'!D50+'Exhibit H'!B37</f>
        <v>25.9</v>
      </c>
      <c r="D74" s="1423"/>
      <c r="E74" s="1423">
        <f>+'Exhibit F'!F69+'Exhibit G State'!F50+'Exhibit H'!D37</f>
        <v>28.200000000000003</v>
      </c>
      <c r="F74" s="1423"/>
      <c r="G74" s="1423">
        <f>+'Exhibit F'!H69+'Exhibit G State'!H50+'Exhibit H'!F37</f>
        <v>18.900000000000002</v>
      </c>
      <c r="H74" s="1423"/>
      <c r="I74" s="1423">
        <f>+'Exhibit F'!J69+'Exhibit G State'!J50+'Exhibit H'!H37</f>
        <v>19.900000000000006</v>
      </c>
      <c r="J74" s="1423"/>
      <c r="K74" s="1423">
        <f>+'Exhibit F'!L69+'Exhibit G State'!L50+'Exhibit H'!J37</f>
        <v>26</v>
      </c>
      <c r="L74" s="1423"/>
      <c r="M74" s="1423">
        <f>+'Exhibit F'!N69+'Exhibit G State'!N50+'Exhibit H'!L37</f>
        <v>23.4</v>
      </c>
      <c r="N74" s="1423"/>
      <c r="O74" s="1423">
        <f>+'Exhibit F'!P69+'Exhibit G State'!P50+'Exhibit H'!N37</f>
        <v>20.200000000000006</v>
      </c>
      <c r="P74" s="1423"/>
      <c r="Q74" s="1423">
        <f>+'Exhibit F'!R69+'Exhibit G State'!R50+'Exhibit H'!P37</f>
        <v>27.899999999999991</v>
      </c>
      <c r="R74" s="1423"/>
      <c r="S74" s="1423">
        <f>+'Exhibit F'!T69+'Exhibit G State'!T50+'Exhibit H'!R37</f>
        <v>19.200000000000003</v>
      </c>
      <c r="T74" s="1423"/>
      <c r="U74" s="1423">
        <f>+'Exhibit F'!V69+'Exhibit G State'!V50+'Exhibit H'!T37</f>
        <v>16.699999999999971</v>
      </c>
      <c r="V74" s="1423"/>
      <c r="W74" s="1423"/>
      <c r="X74" s="1423"/>
      <c r="Y74" s="1423"/>
      <c r="Z74" s="1423"/>
      <c r="AA74" s="2725"/>
      <c r="AB74" s="3083">
        <f t="shared" si="15"/>
        <v>226.3</v>
      </c>
      <c r="AC74" s="3083"/>
      <c r="AD74" s="3334"/>
      <c r="AE74" s="3083">
        <f>+'Exhibit F'!AF69+'Exhibit G State'!AG50+'Exhibit H'!AD37</f>
        <v>188.4</v>
      </c>
      <c r="AF74" s="3085"/>
      <c r="AG74" s="3085"/>
      <c r="AH74" s="3083">
        <f t="shared" si="14"/>
        <v>37.9</v>
      </c>
      <c r="AI74" s="3042"/>
      <c r="AJ74" s="1797">
        <f>ROUND(SUM(AH74/ABS(AE74)),3)</f>
        <v>0.20100000000000001</v>
      </c>
    </row>
    <row r="75" spans="1:36" ht="15">
      <c r="A75" s="2440" t="s">
        <v>939</v>
      </c>
      <c r="B75" s="1424"/>
      <c r="C75" s="1423">
        <f>+'Exhibit F'!D70+'Exhibit G State'!D51+'Exhibit H'!B38</f>
        <v>1</v>
      </c>
      <c r="D75" s="1423"/>
      <c r="E75" s="1423">
        <f>+'Exhibit F'!F70+'Exhibit G State'!F51+'Exhibit H'!D38</f>
        <v>0.30000000000000004</v>
      </c>
      <c r="F75" s="1423"/>
      <c r="G75" s="1423">
        <f>+'Exhibit F'!H70+'Exhibit G State'!H51+'Exhibit H'!F38</f>
        <v>0.8999999999999998</v>
      </c>
      <c r="H75" s="1423"/>
      <c r="I75" s="1423">
        <f>+'Exhibit F'!J70+'Exhibit G State'!J51+'Exhibit H'!H38</f>
        <v>0.30000000000000027</v>
      </c>
      <c r="J75" s="1423"/>
      <c r="K75" s="1423">
        <f>+'Exhibit F'!L70+'Exhibit G State'!L51+'Exhibit H'!J38</f>
        <v>0.49999999999999989</v>
      </c>
      <c r="L75" s="1423"/>
      <c r="M75" s="1423">
        <f>+'Exhibit F'!N70+'Exhibit G State'!N51+'Exhibit H'!L38</f>
        <v>0.30000000000000004</v>
      </c>
      <c r="N75" s="1423"/>
      <c r="O75" s="1423">
        <f>+'Exhibit F'!P70+'Exhibit G State'!P51+'Exhibit H'!N38</f>
        <v>0.39999999999999991</v>
      </c>
      <c r="P75" s="1423"/>
      <c r="Q75" s="1423">
        <f>+'Exhibit F'!R70+'Exhibit G State'!R51+'Exhibit H'!P38</f>
        <v>0.59999999999999987</v>
      </c>
      <c r="R75" s="1423"/>
      <c r="S75" s="1423">
        <f>+'Exhibit F'!T70+'Exhibit G State'!T51+'Exhibit H'!R38</f>
        <v>0</v>
      </c>
      <c r="T75" s="1423"/>
      <c r="U75" s="1423">
        <f>+'Exhibit F'!V70+'Exhibit G State'!V51+'Exhibit H'!T38</f>
        <v>2.0999999999999996</v>
      </c>
      <c r="V75" s="1423"/>
      <c r="W75" s="1423"/>
      <c r="X75" s="1423"/>
      <c r="Y75" s="1423"/>
      <c r="Z75" s="1423"/>
      <c r="AA75" s="2725"/>
      <c r="AB75" s="3083">
        <f t="shared" si="15"/>
        <v>6.4</v>
      </c>
      <c r="AC75" s="3083"/>
      <c r="AD75" s="3334"/>
      <c r="AE75" s="3083">
        <f>+'Exhibit F'!AF70+'Exhibit G State'!AG51+'Exhibit H'!AD38</f>
        <v>4.5</v>
      </c>
      <c r="AF75" s="3085"/>
      <c r="AG75" s="3085"/>
      <c r="AH75" s="3083">
        <f t="shared" si="14"/>
        <v>1.9</v>
      </c>
      <c r="AI75" s="3042"/>
      <c r="AJ75" s="1797">
        <f>ROUND(SUM(AH75/ABS(AE75)),3)</f>
        <v>0.42199999999999999</v>
      </c>
    </row>
    <row r="76" spans="1:36" ht="15">
      <c r="A76" s="2440" t="s">
        <v>940</v>
      </c>
      <c r="B76" s="1424"/>
      <c r="C76" s="1423">
        <f>+'Exhibit F'!D71+'Exhibit G State'!D52+'Exhibit H'!B39</f>
        <v>49.8</v>
      </c>
      <c r="D76" s="1423"/>
      <c r="E76" s="1423">
        <f>+'Exhibit F'!F71+'Exhibit G State'!F52+'Exhibit H'!D39</f>
        <v>43.399999999999991</v>
      </c>
      <c r="F76" s="1423"/>
      <c r="G76" s="1423">
        <f>+'Exhibit F'!H71+'Exhibit G State'!H52+'Exhibit H'!F39</f>
        <v>79.200000000000017</v>
      </c>
      <c r="H76" s="1423"/>
      <c r="I76" s="1423">
        <f>+'Exhibit F'!J71+'Exhibit G State'!J52+'Exhibit H'!H39</f>
        <v>37.6</v>
      </c>
      <c r="J76" s="1423"/>
      <c r="K76" s="1423">
        <f>+'Exhibit F'!L71+'Exhibit G State'!L52+'Exhibit H'!J39</f>
        <v>61.599999999999994</v>
      </c>
      <c r="L76" s="1423"/>
      <c r="M76" s="1423">
        <f>+'Exhibit F'!N71+'Exhibit G State'!N52+'Exhibit H'!L39</f>
        <v>71.600000000000009</v>
      </c>
      <c r="N76" s="1423"/>
      <c r="O76" s="1423">
        <f>+'Exhibit F'!P71+'Exhibit G State'!P52+'Exhibit H'!N39</f>
        <v>32.100000000000023</v>
      </c>
      <c r="P76" s="1423"/>
      <c r="Q76" s="1423">
        <f>+'Exhibit F'!R71+'Exhibit G State'!R52+'Exhibit H'!P39</f>
        <v>25.099999999999994</v>
      </c>
      <c r="R76" s="1423"/>
      <c r="S76" s="1423">
        <f>+'Exhibit F'!T71+'Exhibit G State'!T52+'Exhibit H'!R39</f>
        <v>54.59999999999998</v>
      </c>
      <c r="T76" s="1423"/>
      <c r="U76" s="1423">
        <f>+'Exhibit F'!V71+'Exhibit G State'!V52+'Exhibit H'!T39</f>
        <v>38.300000000000011</v>
      </c>
      <c r="V76" s="1423"/>
      <c r="W76" s="1423"/>
      <c r="X76" s="1423"/>
      <c r="Y76" s="1423"/>
      <c r="Z76" s="1423"/>
      <c r="AA76" s="2725"/>
      <c r="AB76" s="3083">
        <f t="shared" si="15"/>
        <v>493.3</v>
      </c>
      <c r="AC76" s="3083"/>
      <c r="AD76" s="3334"/>
      <c r="AE76" s="3083">
        <f>+'Exhibit F'!AF71+'Exhibit G State'!AG52+'Exhibit H'!AD39</f>
        <v>484.79999999999995</v>
      </c>
      <c r="AF76" s="3085"/>
      <c r="AG76" s="3085"/>
      <c r="AH76" s="3083">
        <f t="shared" si="14"/>
        <v>8.5</v>
      </c>
      <c r="AI76" s="3042"/>
      <c r="AJ76" s="1703">
        <f>ROUND(IF(AE76=0,0,AH76/ABS(AE76)),3)</f>
        <v>1.7999999999999999E-2</v>
      </c>
    </row>
    <row r="77" spans="1:36" ht="15">
      <c r="A77" s="2440" t="s">
        <v>941</v>
      </c>
      <c r="B77" s="1424"/>
      <c r="C77" s="1423">
        <f>+'Exhibit F'!D72+'Exhibit G State'!D53+'Exhibit H'!B40</f>
        <v>66.900000000000006</v>
      </c>
      <c r="D77" s="1423"/>
      <c r="E77" s="1423">
        <f>+'Exhibit F'!F72+'Exhibit G State'!F53+'Exhibit H'!D40</f>
        <v>50.399999999999991</v>
      </c>
      <c r="F77" s="1423"/>
      <c r="G77" s="1423">
        <f>+'Exhibit F'!H72+'Exhibit G State'!H53+'Exhibit H'!F40</f>
        <v>86.000000000000028</v>
      </c>
      <c r="H77" s="1423"/>
      <c r="I77" s="1423">
        <f>+'Exhibit F'!J72+'Exhibit G State'!J53+'Exhibit H'!H40</f>
        <v>57.9</v>
      </c>
      <c r="J77" s="1423"/>
      <c r="K77" s="1423">
        <f>+'Exhibit F'!L72+'Exhibit G State'!L53+'Exhibit H'!J40</f>
        <v>92.59999999999998</v>
      </c>
      <c r="L77" s="1423"/>
      <c r="M77" s="1423">
        <f>+'Exhibit F'!N72+'Exhibit G State'!N53+'Exhibit H'!L40</f>
        <v>145.10000000000002</v>
      </c>
      <c r="N77" s="1423"/>
      <c r="O77" s="1423">
        <f>+'Exhibit F'!P72+'Exhibit G State'!P53+'Exhibit H'!N40</f>
        <v>74.200000000000088</v>
      </c>
      <c r="P77" s="1423"/>
      <c r="Q77" s="1423">
        <f>+'Exhibit F'!R72+'Exhibit G State'!R53+'Exhibit H'!P40</f>
        <v>128.39999999999981</v>
      </c>
      <c r="R77" s="1423"/>
      <c r="S77" s="1423">
        <f>+'Exhibit F'!T72+'Exhibit G State'!T53+'Exhibit H'!R40</f>
        <v>56.59999999999998</v>
      </c>
      <c r="T77" s="1423"/>
      <c r="U77" s="1423">
        <f>+'Exhibit F'!V72+'Exhibit G State'!V53+'Exhibit H'!T40</f>
        <v>75.000000000000043</v>
      </c>
      <c r="V77" s="1423"/>
      <c r="W77" s="1423"/>
      <c r="X77" s="1423"/>
      <c r="Y77" s="1423"/>
      <c r="Z77" s="1423"/>
      <c r="AA77" s="2725"/>
      <c r="AB77" s="3083">
        <f t="shared" si="15"/>
        <v>833.1</v>
      </c>
      <c r="AC77" s="3083"/>
      <c r="AD77" s="3334"/>
      <c r="AE77" s="3083">
        <f>+'Exhibit F'!AF72+'Exhibit G State'!AG53+'Exhibit H'!AD40</f>
        <v>542</v>
      </c>
      <c r="AF77" s="3085"/>
      <c r="AG77" s="3085"/>
      <c r="AH77" s="3083">
        <f t="shared" si="14"/>
        <v>291.10000000000002</v>
      </c>
      <c r="AI77" s="3042"/>
      <c r="AJ77" s="1797">
        <f>ROUND(SUM(AH77/ABS(AE77)),3)</f>
        <v>0.53700000000000003</v>
      </c>
    </row>
    <row r="78" spans="1:36" ht="15">
      <c r="A78" s="2440" t="s">
        <v>930</v>
      </c>
      <c r="B78" s="1424"/>
      <c r="C78" s="1423">
        <f>+'Exhibit F'!D73+'Exhibit G State'!D54</f>
        <v>47.5</v>
      </c>
      <c r="D78" s="1423"/>
      <c r="E78" s="1423">
        <f>+'Exhibit F'!F73+'Exhibit G State'!F54</f>
        <v>41.4</v>
      </c>
      <c r="F78" s="1423"/>
      <c r="G78" s="1423">
        <f>+'Exhibit F'!H73+'Exhibit G State'!H54</f>
        <v>49.100000000000009</v>
      </c>
      <c r="H78" s="1423"/>
      <c r="I78" s="1423">
        <f>+'Exhibit F'!J73+'Exhibit G State'!J54</f>
        <v>9.5999999999999783</v>
      </c>
      <c r="J78" s="1423"/>
      <c r="K78" s="1423">
        <f>+'Exhibit F'!L73+'Exhibit G State'!L54</f>
        <v>23</v>
      </c>
      <c r="L78" s="1423"/>
      <c r="M78" s="1423">
        <f>+'Exhibit F'!N73+'Exhibit G State'!N54</f>
        <v>26.1</v>
      </c>
      <c r="N78" s="1423"/>
      <c r="O78" s="1423">
        <f>+'Exhibit F'!P73+'Exhibit G State'!P54</f>
        <v>21.600000000000009</v>
      </c>
      <c r="P78" s="1423"/>
      <c r="Q78" s="1423">
        <f>+'Exhibit F'!R73+'Exhibit G State'!R54</f>
        <v>51.000000000000014</v>
      </c>
      <c r="R78" s="1423"/>
      <c r="S78" s="1423">
        <f>+'Exhibit F'!T73+'Exhibit G State'!T54</f>
        <v>7.3999999999999915</v>
      </c>
      <c r="T78" s="1423"/>
      <c r="U78" s="1423">
        <f>+'Exhibit F'!V73+'Exhibit G State'!V54</f>
        <v>75.600000000000023</v>
      </c>
      <c r="V78" s="1423"/>
      <c r="W78" s="1423"/>
      <c r="X78" s="1423"/>
      <c r="Y78" s="1423"/>
      <c r="Z78" s="1423"/>
      <c r="AA78" s="2725"/>
      <c r="AB78" s="3083">
        <f t="shared" si="15"/>
        <v>352.3</v>
      </c>
      <c r="AC78" s="3083"/>
      <c r="AD78" s="3334"/>
      <c r="AE78" s="3083">
        <f>+'Exhibit F'!AF73+'Exhibit G State'!AG54</f>
        <v>841.9</v>
      </c>
      <c r="AF78" s="3085"/>
      <c r="AG78" s="3085"/>
      <c r="AH78" s="3083">
        <f t="shared" si="14"/>
        <v>-489.6</v>
      </c>
      <c r="AI78" s="3042"/>
      <c r="AJ78" s="1797">
        <f>ROUND(SUM(AH78/ABS(AE78)),3)</f>
        <v>-0.58199999999999996</v>
      </c>
    </row>
    <row r="79" spans="1:36" ht="15">
      <c r="A79" s="2440" t="s">
        <v>1046</v>
      </c>
      <c r="B79" s="1424"/>
      <c r="C79" s="1423"/>
      <c r="D79" s="1423"/>
      <c r="E79" s="1423"/>
      <c r="F79" s="1423"/>
      <c r="G79" s="1423"/>
      <c r="H79" s="1423"/>
      <c r="I79" s="1423"/>
      <c r="J79" s="1423"/>
      <c r="K79" s="1423"/>
      <c r="L79" s="1423"/>
      <c r="M79" s="1423"/>
      <c r="N79" s="1423"/>
      <c r="O79" s="1423"/>
      <c r="P79" s="1423"/>
      <c r="Q79" s="1423"/>
      <c r="R79" s="1423"/>
      <c r="S79" s="1423"/>
      <c r="T79" s="1423"/>
      <c r="U79" s="1423"/>
      <c r="V79" s="1423"/>
      <c r="W79" s="1423"/>
      <c r="X79" s="1423"/>
      <c r="Y79" s="1423"/>
      <c r="Z79" s="1423"/>
      <c r="AA79" s="2725"/>
      <c r="AB79" s="3083"/>
      <c r="AC79" s="3083"/>
      <c r="AD79" s="3334"/>
      <c r="AE79" s="3083"/>
      <c r="AF79" s="3085"/>
      <c r="AG79" s="3085"/>
      <c r="AH79" s="3083"/>
      <c r="AI79" s="3042"/>
      <c r="AJ79" s="1797" t="s">
        <v>14</v>
      </c>
    </row>
    <row r="80" spans="1:36" ht="15">
      <c r="A80" s="2440" t="s">
        <v>942</v>
      </c>
      <c r="B80" s="1424"/>
      <c r="C80" s="1423">
        <f>+'Exhibit G State'!D56</f>
        <v>34.200000000000003</v>
      </c>
      <c r="D80" s="1423"/>
      <c r="E80" s="1423">
        <f>+'Exhibit G State'!F56</f>
        <v>14.199999999999996</v>
      </c>
      <c r="F80" s="1423"/>
      <c r="G80" s="1423">
        <f>+'Exhibit G State'!H56</f>
        <v>17.100000000000001</v>
      </c>
      <c r="H80" s="1423"/>
      <c r="I80" s="1423">
        <f>+'Exhibit G State'!J56</f>
        <v>35.700000000000003</v>
      </c>
      <c r="J80" s="1423"/>
      <c r="K80" s="1423">
        <f>+'Exhibit G State'!L56</f>
        <v>15.199999999999996</v>
      </c>
      <c r="L80" s="1423"/>
      <c r="M80" s="1423">
        <f>+'Exhibit G State'!N56</f>
        <v>19.29999999999999</v>
      </c>
      <c r="N80" s="1423"/>
      <c r="O80" s="1423">
        <f>+'Exhibit G State'!P56</f>
        <v>35.500000000000028</v>
      </c>
      <c r="P80" s="1423"/>
      <c r="Q80" s="1423">
        <f>+'Exhibit G State'!R56</f>
        <v>10.199999999999982</v>
      </c>
      <c r="R80" s="1423"/>
      <c r="S80" s="1423">
        <f>+'Exhibit G State'!T56</f>
        <v>16.900000000000034</v>
      </c>
      <c r="T80" s="1423"/>
      <c r="U80" s="1423">
        <f>+'Exhibit G State'!V56</f>
        <v>29.799999999999962</v>
      </c>
      <c r="V80" s="1423"/>
      <c r="W80" s="1423"/>
      <c r="X80" s="1423"/>
      <c r="Y80" s="1423"/>
      <c r="Z80" s="1423"/>
      <c r="AA80" s="2725"/>
      <c r="AB80" s="3083">
        <f t="shared" ref="AB80:AB85" si="16">ROUND(SUM(C80:Y80),1)</f>
        <v>228.1</v>
      </c>
      <c r="AC80" s="3083"/>
      <c r="AD80" s="3334"/>
      <c r="AE80" s="3083">
        <f>+'Exhibit G State'!AG56</f>
        <v>109.5</v>
      </c>
      <c r="AF80" s="3085"/>
      <c r="AG80" s="3085"/>
      <c r="AH80" s="3083">
        <f t="shared" si="14"/>
        <v>118.6</v>
      </c>
      <c r="AI80" s="3042"/>
      <c r="AJ80" s="1703">
        <f>ROUND(IF(AE80=0,1,AH80/ABS(AE80)),3)</f>
        <v>1.083</v>
      </c>
    </row>
    <row r="81" spans="1:36" ht="15">
      <c r="A81" s="2440" t="s">
        <v>1563</v>
      </c>
      <c r="B81" s="1424"/>
      <c r="C81" s="1423">
        <f>+'Exhibit G State'!D57</f>
        <v>199.5</v>
      </c>
      <c r="D81" s="1423"/>
      <c r="E81" s="1423">
        <f>+'Exhibit G State'!F57</f>
        <v>213.5</v>
      </c>
      <c r="F81" s="1423"/>
      <c r="G81" s="1423">
        <f>+'Exhibit G State'!H57</f>
        <v>238.89999999999998</v>
      </c>
      <c r="H81" s="1423"/>
      <c r="I81" s="1423">
        <f>+'Exhibit G State'!J57</f>
        <v>181.89999999999998</v>
      </c>
      <c r="J81" s="1423"/>
      <c r="K81" s="1423">
        <f>+'Exhibit G State'!L57</f>
        <v>186.80000000000007</v>
      </c>
      <c r="L81" s="1423"/>
      <c r="M81" s="1423">
        <f>+'Exhibit G State'!N57</f>
        <v>240.89999999999998</v>
      </c>
      <c r="N81" s="1423"/>
      <c r="O81" s="1423">
        <f>+'Exhibit G State'!P57</f>
        <v>192.40000000000009</v>
      </c>
      <c r="P81" s="1423"/>
      <c r="Q81" s="1423">
        <f>+'Exhibit G State'!R57</f>
        <v>203.2</v>
      </c>
      <c r="R81" s="1423"/>
      <c r="S81" s="1423">
        <f>+'Exhibit G State'!T57</f>
        <v>225.39999999999969</v>
      </c>
      <c r="T81" s="1423"/>
      <c r="U81" s="1423">
        <f>+'Exhibit G State'!V57</f>
        <v>193.99999999999989</v>
      </c>
      <c r="V81" s="1423"/>
      <c r="W81" s="1423"/>
      <c r="X81" s="1423"/>
      <c r="Y81" s="1423"/>
      <c r="Z81" s="1423"/>
      <c r="AA81" s="2725"/>
      <c r="AB81" s="3083">
        <f t="shared" si="16"/>
        <v>2076.5</v>
      </c>
      <c r="AC81" s="3083"/>
      <c r="AD81" s="3334"/>
      <c r="AE81" s="3083">
        <f>+'Exhibit G State'!AG57</f>
        <v>1881.7</v>
      </c>
      <c r="AF81" s="3085"/>
      <c r="AG81" s="3085"/>
      <c r="AH81" s="3083">
        <f t="shared" si="14"/>
        <v>194.8</v>
      </c>
      <c r="AI81" s="3042"/>
      <c r="AJ81" s="1703">
        <f t="shared" ref="AJ81" si="17">ROUND(IF(AE81=0,0,AH81/ABS(AE81)),3)</f>
        <v>0.104</v>
      </c>
    </row>
    <row r="82" spans="1:36" ht="15">
      <c r="A82" s="2440" t="s">
        <v>1545</v>
      </c>
      <c r="B82" s="1424"/>
      <c r="C82" s="1423">
        <f>+'Exhibit G State'!D58</f>
        <v>0</v>
      </c>
      <c r="D82" s="1423"/>
      <c r="E82" s="1423">
        <f>+'Exhibit G State'!F58</f>
        <v>0</v>
      </c>
      <c r="F82" s="1423"/>
      <c r="G82" s="1423">
        <f>+'Exhibit G State'!H58</f>
        <v>0</v>
      </c>
      <c r="H82" s="1423"/>
      <c r="I82" s="1423">
        <f>+'Exhibit G State'!J58</f>
        <v>0</v>
      </c>
      <c r="J82" s="1423"/>
      <c r="K82" s="1423">
        <f>+'Exhibit G State'!L58</f>
        <v>0</v>
      </c>
      <c r="L82" s="1423"/>
      <c r="M82" s="1423">
        <f>+'Exhibit G State'!N58</f>
        <v>0</v>
      </c>
      <c r="N82" s="1423"/>
      <c r="O82" s="1423">
        <f>+'Exhibit G State'!P58</f>
        <v>0</v>
      </c>
      <c r="P82" s="1423"/>
      <c r="Q82" s="1423">
        <f>+'Exhibit G State'!R58</f>
        <v>150</v>
      </c>
      <c r="R82" s="1423"/>
      <c r="S82" s="1423">
        <f>+'Exhibit G State'!T58</f>
        <v>50</v>
      </c>
      <c r="T82" s="1423"/>
      <c r="U82" s="1423">
        <f>+'Exhibit G State'!V58</f>
        <v>46.599999999999994</v>
      </c>
      <c r="V82" s="1423"/>
      <c r="W82" s="1423"/>
      <c r="X82" s="1423"/>
      <c r="Y82" s="1423"/>
      <c r="Z82" s="1423"/>
      <c r="AA82" s="2725"/>
      <c r="AB82" s="3083">
        <f t="shared" si="16"/>
        <v>246.6</v>
      </c>
      <c r="AC82" s="3083"/>
      <c r="AD82" s="3334"/>
      <c r="AE82" s="3083">
        <f>+'Exhibit G State'!AG58</f>
        <v>0</v>
      </c>
      <c r="AF82" s="3085"/>
      <c r="AG82" s="3085"/>
      <c r="AH82" s="3083">
        <f t="shared" si="14"/>
        <v>246.6</v>
      </c>
      <c r="AI82" s="3042"/>
      <c r="AJ82" s="1703">
        <f>ROUND(IF(AE82=0,1,AH82/ABS(AE82)),3)</f>
        <v>1</v>
      </c>
    </row>
    <row r="83" spans="1:36" ht="15">
      <c r="A83" s="2440" t="s">
        <v>943</v>
      </c>
      <c r="B83" s="1424"/>
      <c r="C83" s="1423">
        <f>+'Exhibit G State'!D59</f>
        <v>75.900000000000006</v>
      </c>
      <c r="D83" s="1423"/>
      <c r="E83" s="1423">
        <f>+'Exhibit G State'!F59</f>
        <v>77.899999999999977</v>
      </c>
      <c r="F83" s="1423"/>
      <c r="G83" s="1423">
        <f>+'Exhibit G State'!H59</f>
        <v>101.9</v>
      </c>
      <c r="H83" s="1423"/>
      <c r="I83" s="1423">
        <f>+'Exhibit G State'!J59</f>
        <v>82.400000000000063</v>
      </c>
      <c r="J83" s="1423"/>
      <c r="K83" s="1423">
        <f>+'Exhibit G State'!L59</f>
        <v>81.5</v>
      </c>
      <c r="L83" s="1423"/>
      <c r="M83" s="1423">
        <f>+'Exhibit G State'!N59</f>
        <v>99.200000000000074</v>
      </c>
      <c r="N83" s="1423"/>
      <c r="O83" s="1423">
        <f>+'Exhibit G State'!P59</f>
        <v>76.899999999999949</v>
      </c>
      <c r="P83" s="1423"/>
      <c r="Q83" s="1423">
        <f>+'Exhibit G State'!R59</f>
        <v>76.5</v>
      </c>
      <c r="R83" s="1423"/>
      <c r="S83" s="1423">
        <f>+'Exhibit G State'!T59</f>
        <v>87.699999999999932</v>
      </c>
      <c r="T83" s="1423"/>
      <c r="U83" s="1423">
        <f>+'Exhibit G State'!V59</f>
        <v>69.800000000000097</v>
      </c>
      <c r="V83" s="1423"/>
      <c r="W83" s="1423"/>
      <c r="X83" s="1423"/>
      <c r="Y83" s="1423"/>
      <c r="Z83" s="1423"/>
      <c r="AA83" s="2725"/>
      <c r="AB83" s="3083">
        <f t="shared" si="16"/>
        <v>829.7</v>
      </c>
      <c r="AC83" s="3083"/>
      <c r="AD83" s="3334"/>
      <c r="AE83" s="3083">
        <f>+'Exhibit G State'!AG59</f>
        <v>264.7</v>
      </c>
      <c r="AF83" s="3085"/>
      <c r="AG83" s="3085"/>
      <c r="AH83" s="3083">
        <f t="shared" si="14"/>
        <v>565</v>
      </c>
      <c r="AI83" s="3042"/>
      <c r="AJ83" s="1708">
        <f>ROUND(IF(AE83=0,1,AH83/ABS(AE83)),3)</f>
        <v>2.1339999999999999</v>
      </c>
    </row>
    <row r="84" spans="1:36" ht="15">
      <c r="A84" s="2440" t="s">
        <v>931</v>
      </c>
      <c r="B84" s="1424"/>
      <c r="C84" s="1423">
        <f>+'Exhibit F'!D74+'Exhibit H'!B41+'Exhibit G State'!D60</f>
        <v>5</v>
      </c>
      <c r="D84" s="1423"/>
      <c r="E84" s="1423">
        <f>+'Exhibit F'!F74+'Exhibit H'!D41+'Exhibit G State'!F60</f>
        <v>3.8000000000000003</v>
      </c>
      <c r="F84" s="1423"/>
      <c r="G84" s="1423">
        <f>+'Exhibit F'!H74+'Exhibit H'!F41+'Exhibit G State'!H60</f>
        <v>3.6000000000000005</v>
      </c>
      <c r="H84" s="1423"/>
      <c r="I84" s="1423">
        <f>+'Exhibit F'!J74+'Exhibit H'!H41+'Exhibit G State'!J60</f>
        <v>3.6999999999999993</v>
      </c>
      <c r="J84" s="1423"/>
      <c r="K84" s="1423">
        <f>+'Exhibit F'!L74+'Exhibit H'!J41+'Exhibit G State'!L60</f>
        <v>3.7</v>
      </c>
      <c r="L84" s="1423"/>
      <c r="M84" s="1423">
        <f>+'Exhibit F'!N74+'Exhibit H'!L41+'Exhibit G State'!N60</f>
        <v>3.4</v>
      </c>
      <c r="N84" s="1423"/>
      <c r="O84" s="1423">
        <f>+'Exhibit F'!P74+'Exhibit H'!N41+'Exhibit G State'!P60</f>
        <v>3.5999999999999988</v>
      </c>
      <c r="P84" s="1423"/>
      <c r="Q84" s="1423">
        <f>+'Exhibit F'!R74+'Exhibit H'!P41+'Exhibit G State'!R60</f>
        <v>4.3000000000000007</v>
      </c>
      <c r="R84" s="1423"/>
      <c r="S84" s="1423">
        <f>+'Exhibit F'!T74+'Exhibit H'!R41+'Exhibit G State'!T60</f>
        <v>3.5000000000000022</v>
      </c>
      <c r="T84" s="1423"/>
      <c r="U84" s="1423">
        <f>+'Exhibit F'!V74+'Exhibit H'!T41+'Exhibit G State'!V60</f>
        <v>4.5999999999999979</v>
      </c>
      <c r="V84" s="1423"/>
      <c r="W84" s="1423"/>
      <c r="X84" s="1423"/>
      <c r="Y84" s="1423"/>
      <c r="Z84" s="1423"/>
      <c r="AA84" s="2725"/>
      <c r="AB84" s="3083">
        <f t="shared" si="16"/>
        <v>39.200000000000003</v>
      </c>
      <c r="AC84" s="3083"/>
      <c r="AD84" s="3334"/>
      <c r="AE84" s="3083">
        <f>+'Exhibit F'!AF74+'Exhibit H'!AD41+'Exhibit G State'!AG60</f>
        <v>86.4</v>
      </c>
      <c r="AF84" s="3085"/>
      <c r="AG84" s="3085"/>
      <c r="AH84" s="3083">
        <f t="shared" si="14"/>
        <v>-47.2</v>
      </c>
      <c r="AI84" s="3042"/>
      <c r="AJ84" s="1808">
        <f>ROUND(SUM(AH84/ABS(AE84)),3)</f>
        <v>-0.54600000000000004</v>
      </c>
    </row>
    <row r="85" spans="1:36" ht="15">
      <c r="A85" s="2440" t="s">
        <v>948</v>
      </c>
      <c r="B85" s="1424"/>
      <c r="C85" s="1423">
        <f>+'Exhibit F'!D75+'Exhibit H'!B42+'Exhibit G State'!D61</f>
        <v>6.7</v>
      </c>
      <c r="D85" s="1423"/>
      <c r="E85" s="1423">
        <f>+'Exhibit F'!F75+'Exhibit H'!D42+'Exhibit G State'!F61</f>
        <v>2.1999999999999993</v>
      </c>
      <c r="F85" s="1423"/>
      <c r="G85" s="1423">
        <f>+'Exhibit F'!H75+'Exhibit H'!F42+'Exhibit G State'!H61</f>
        <v>4.9000000000000004</v>
      </c>
      <c r="H85" s="1423"/>
      <c r="I85" s="1423">
        <f>+'Exhibit F'!J75+'Exhibit H'!H42+'Exhibit G State'!J61</f>
        <v>3.3000000000000012</v>
      </c>
      <c r="J85" s="1423"/>
      <c r="K85" s="1423">
        <f>+'Exhibit F'!L75+'Exhibit H'!J42+'Exhibit G State'!L61</f>
        <v>1.4000000000000021</v>
      </c>
      <c r="L85" s="1423"/>
      <c r="M85" s="1423">
        <f>+'Exhibit F'!N75+'Exhibit H'!L42+'Exhibit G State'!N61</f>
        <v>6.8999999999999977</v>
      </c>
      <c r="N85" s="1423"/>
      <c r="O85" s="1423">
        <f>+'Exhibit F'!P75+'Exhibit H'!N42+'Exhibit G State'!P61</f>
        <v>3.4000000000000021</v>
      </c>
      <c r="P85" s="1423"/>
      <c r="Q85" s="1423">
        <f>+'Exhibit F'!R75+'Exhibit H'!P42+'Exhibit G State'!R61</f>
        <v>1.4999999999999993</v>
      </c>
      <c r="R85" s="1423"/>
      <c r="S85" s="1423">
        <f>+'Exhibit F'!T75+'Exhibit H'!R42+'Exhibit G State'!T61</f>
        <v>6.0999999999999925</v>
      </c>
      <c r="T85" s="1423"/>
      <c r="U85" s="1423">
        <f>+'Exhibit F'!V75+'Exhibit H'!T42+'Exhibit G State'!V61</f>
        <v>3.3000000000000043</v>
      </c>
      <c r="V85" s="1423"/>
      <c r="W85" s="1423"/>
      <c r="X85" s="1423"/>
      <c r="Y85" s="1423"/>
      <c r="Z85" s="1423"/>
      <c r="AA85" s="2725"/>
      <c r="AB85" s="3083">
        <f t="shared" si="16"/>
        <v>39.700000000000003</v>
      </c>
      <c r="AC85" s="3083"/>
      <c r="AD85" s="3334"/>
      <c r="AE85" s="3083">
        <f>+'Exhibit F'!AF75+'Exhibit H'!AD42+'Exhibit G State'!AG61</f>
        <v>41.800000000000004</v>
      </c>
      <c r="AF85" s="3085"/>
      <c r="AG85" s="3085"/>
      <c r="AH85" s="3083">
        <f>ROUND(SUM(AB85-AE85),1)</f>
        <v>-2.1</v>
      </c>
      <c r="AI85" s="3042"/>
      <c r="AJ85" s="1808">
        <f>ROUND(SUM(AH85/ABS(AE85)),3)</f>
        <v>-0.05</v>
      </c>
    </row>
    <row r="86" spans="1:36" ht="15">
      <c r="A86" s="2440" t="s">
        <v>1047</v>
      </c>
      <c r="B86" s="1424"/>
      <c r="C86" s="1423"/>
      <c r="D86" s="1423"/>
      <c r="E86" s="1423"/>
      <c r="F86" s="1423"/>
      <c r="G86" s="1423"/>
      <c r="H86" s="1423"/>
      <c r="I86" s="1423"/>
      <c r="J86" s="1423"/>
      <c r="K86" s="1423"/>
      <c r="L86" s="1423"/>
      <c r="M86" s="1423"/>
      <c r="N86" s="1423"/>
      <c r="O86" s="1423"/>
      <c r="P86" s="1423"/>
      <c r="Q86" s="1423"/>
      <c r="R86" s="1423"/>
      <c r="S86" s="1423"/>
      <c r="T86" s="1423"/>
      <c r="U86" s="1423"/>
      <c r="V86" s="1423"/>
      <c r="W86" s="1423"/>
      <c r="X86" s="1423"/>
      <c r="Y86" s="1423"/>
      <c r="Z86" s="1423"/>
      <c r="AA86" s="2725"/>
      <c r="AB86" s="3083"/>
      <c r="AC86" s="3083"/>
      <c r="AD86" s="3334"/>
      <c r="AE86" s="3083"/>
      <c r="AF86" s="3085"/>
      <c r="AG86" s="3085"/>
      <c r="AH86" s="3083"/>
      <c r="AI86" s="3042"/>
      <c r="AJ86" s="1703"/>
    </row>
    <row r="87" spans="1:36" ht="15">
      <c r="A87" s="2440" t="s">
        <v>944</v>
      </c>
      <c r="B87" s="1424"/>
      <c r="C87" s="1423">
        <f>+'Exhibit G State'!D63</f>
        <v>0</v>
      </c>
      <c r="D87" s="1423"/>
      <c r="E87" s="1423">
        <f>+'Exhibit G State'!F63</f>
        <v>0</v>
      </c>
      <c r="F87" s="1423"/>
      <c r="G87" s="1423">
        <f>+'Exhibit G State'!H63</f>
        <v>0</v>
      </c>
      <c r="H87" s="1423"/>
      <c r="I87" s="1423">
        <f>+'Exhibit G State'!J63</f>
        <v>0</v>
      </c>
      <c r="J87" s="1423"/>
      <c r="K87" s="1423">
        <f>+'Exhibit G State'!L63</f>
        <v>0</v>
      </c>
      <c r="L87" s="1423"/>
      <c r="M87" s="1423">
        <f>+'Exhibit G State'!N63</f>
        <v>0</v>
      </c>
      <c r="N87" s="1423"/>
      <c r="O87" s="1423">
        <f>+'Exhibit G State'!P63</f>
        <v>0</v>
      </c>
      <c r="P87" s="1423"/>
      <c r="Q87" s="1423">
        <f>+'Exhibit G State'!R63</f>
        <v>0</v>
      </c>
      <c r="R87" s="1423"/>
      <c r="S87" s="1423">
        <f>+'Exhibit G State'!T63</f>
        <v>0</v>
      </c>
      <c r="T87" s="1423"/>
      <c r="U87" s="1423">
        <f>+'Exhibit G State'!V63</f>
        <v>0</v>
      </c>
      <c r="V87" s="1423"/>
      <c r="W87" s="1423"/>
      <c r="X87" s="1423"/>
      <c r="Y87" s="1423"/>
      <c r="Z87" s="1423"/>
      <c r="AA87" s="2725"/>
      <c r="AB87" s="3083">
        <f t="shared" ref="AB87:AB91" si="18">ROUND(SUM(C87:Y87),1)</f>
        <v>0</v>
      </c>
      <c r="AC87" s="3083"/>
      <c r="AD87" s="3334"/>
      <c r="AE87" s="3083">
        <f>+'Exhibit G State'!AG63+'Exhibit H'!AD44+'Exhibit F'!AF77</f>
        <v>4500.3999999999996</v>
      </c>
      <c r="AF87" s="3085"/>
      <c r="AG87" s="3085"/>
      <c r="AH87" s="3083">
        <f t="shared" si="14"/>
        <v>-4500.3999999999996</v>
      </c>
      <c r="AI87" s="3042"/>
      <c r="AJ87" s="1703">
        <f>ROUND(IF(AE87=0,0,AH87/ABS(AE87)),3)</f>
        <v>-1</v>
      </c>
    </row>
    <row r="88" spans="1:36" ht="15">
      <c r="A88" s="2440" t="s">
        <v>945</v>
      </c>
      <c r="B88" s="1424"/>
      <c r="C88" s="1423">
        <f>+'Exhibit F'!D78+'Exhibit G State'!D64</f>
        <v>0</v>
      </c>
      <c r="D88" s="1423"/>
      <c r="E88" s="1423">
        <f>+'Exhibit F'!F78+'Exhibit G State'!F64</f>
        <v>0</v>
      </c>
      <c r="F88" s="1423"/>
      <c r="G88" s="1423">
        <f>+'Exhibit F'!H78+'Exhibit G State'!H64</f>
        <v>0</v>
      </c>
      <c r="H88" s="1423"/>
      <c r="I88" s="1423">
        <f>+'Exhibit F'!J78+'Exhibit G State'!J64</f>
        <v>5.9</v>
      </c>
      <c r="J88" s="1423"/>
      <c r="K88" s="1423">
        <f>+'Exhibit F'!L78+'Exhibit G State'!L64</f>
        <v>0</v>
      </c>
      <c r="L88" s="1423"/>
      <c r="M88" s="1423">
        <f>+'Exhibit F'!N78+'Exhibit G State'!N64</f>
        <v>0</v>
      </c>
      <c r="N88" s="1423"/>
      <c r="O88" s="1423">
        <f>+'Exhibit F'!P78+'Exhibit G State'!P64</f>
        <v>8.9</v>
      </c>
      <c r="P88" s="1423"/>
      <c r="Q88" s="1423">
        <f>+'Exhibit F'!R78+'Exhibit G State'!R64</f>
        <v>2.6999999999999993</v>
      </c>
      <c r="R88" s="1423"/>
      <c r="S88" s="1423">
        <f>+'Exhibit F'!T78+'Exhibit G State'!T64</f>
        <v>2.8000000000000007</v>
      </c>
      <c r="T88" s="1423"/>
      <c r="U88" s="1423">
        <f>+'Exhibit F'!V78+'Exhibit G State'!V64</f>
        <v>2.7000000000000011</v>
      </c>
      <c r="V88" s="1423"/>
      <c r="W88" s="1423"/>
      <c r="X88" s="1423"/>
      <c r="Y88" s="1423"/>
      <c r="Z88" s="1423"/>
      <c r="AA88" s="2725"/>
      <c r="AB88" s="3083">
        <f t="shared" si="18"/>
        <v>23</v>
      </c>
      <c r="AC88" s="3083"/>
      <c r="AD88" s="3334"/>
      <c r="AE88" s="3083">
        <f>+'Exhibit F'!AF78+'Exhibit G State'!AG64</f>
        <v>8.9</v>
      </c>
      <c r="AF88" s="3085"/>
      <c r="AG88" s="3085"/>
      <c r="AH88" s="3083">
        <f t="shared" si="14"/>
        <v>14.1</v>
      </c>
      <c r="AI88" s="3042"/>
      <c r="AJ88" s="1797">
        <f>ROUND(IF(AE88=0,1,AH88/ABS(AE88)),3)</f>
        <v>1.5840000000000001</v>
      </c>
    </row>
    <row r="89" spans="1:36" ht="15">
      <c r="A89" s="2440" t="s">
        <v>946</v>
      </c>
      <c r="B89" s="1424"/>
      <c r="C89" s="1423">
        <f>+'Exhibit F'!D79+'Exhibit G State'!D65</f>
        <v>2.7</v>
      </c>
      <c r="D89" s="1423"/>
      <c r="E89" s="1423">
        <f>+'Exhibit F'!F79+'Exhibit G State'!F65</f>
        <v>2.2999999999999998</v>
      </c>
      <c r="F89" s="1423"/>
      <c r="G89" s="1423">
        <f>+'Exhibit F'!H79+'Exhibit G State'!H65</f>
        <v>1.7000000000000002</v>
      </c>
      <c r="H89" s="1423"/>
      <c r="I89" s="1423">
        <f>+'Exhibit F'!J79+'Exhibit G State'!J65</f>
        <v>22</v>
      </c>
      <c r="J89" s="1423"/>
      <c r="K89" s="1423">
        <f>+'Exhibit F'!L79+'Exhibit G State'!L65</f>
        <v>0.60000000000000142</v>
      </c>
      <c r="L89" s="1423"/>
      <c r="M89" s="1423">
        <f>+'Exhibit F'!N79+'Exhibit G State'!N65</f>
        <v>0</v>
      </c>
      <c r="N89" s="1423"/>
      <c r="O89" s="1423">
        <f>+'Exhibit F'!P79+'Exhibit G State'!P65</f>
        <v>18.600000000000001</v>
      </c>
      <c r="P89" s="1423"/>
      <c r="Q89" s="1423">
        <f>+'Exhibit F'!R79+'Exhibit G State'!R65</f>
        <v>1.0999999999999943</v>
      </c>
      <c r="R89" s="1423"/>
      <c r="S89" s="1423">
        <f>+'Exhibit F'!T79+'Exhibit G State'!T65</f>
        <v>25.200000000000003</v>
      </c>
      <c r="T89" s="1423"/>
      <c r="U89" s="1423">
        <f>+'Exhibit F'!V79+'Exhibit G State'!V65</f>
        <v>3.5000000000000071</v>
      </c>
      <c r="V89" s="1423"/>
      <c r="W89" s="1423"/>
      <c r="X89" s="1423"/>
      <c r="Y89" s="1423"/>
      <c r="Z89" s="1423"/>
      <c r="AA89" s="2725"/>
      <c r="AB89" s="3083">
        <f t="shared" si="18"/>
        <v>77.7</v>
      </c>
      <c r="AC89" s="3083"/>
      <c r="AD89" s="3334"/>
      <c r="AE89" s="3083">
        <f>+'Exhibit F'!AF79+'Exhibit G State'!AG65</f>
        <v>110.5</v>
      </c>
      <c r="AF89" s="3085"/>
      <c r="AG89" s="3085"/>
      <c r="AH89" s="3083">
        <f t="shared" si="14"/>
        <v>-32.799999999999997</v>
      </c>
      <c r="AI89" s="3042"/>
      <c r="AJ89" s="1808">
        <f>ROUND(SUM(AH89/ABS(AE89)),3)</f>
        <v>-0.29699999999999999</v>
      </c>
    </row>
    <row r="90" spans="1:36" ht="15">
      <c r="A90" s="2440" t="s">
        <v>947</v>
      </c>
      <c r="B90" s="1424"/>
      <c r="C90" s="1423">
        <f>+'Exhibit F'!D80+'Exhibit G State'!D66</f>
        <v>0.2</v>
      </c>
      <c r="D90" s="1423"/>
      <c r="E90" s="1423">
        <f>+'Exhibit F'!F80+'Exhibit G State'!F66</f>
        <v>0</v>
      </c>
      <c r="F90" s="1423"/>
      <c r="G90" s="1423">
        <f>+'Exhibit F'!H80+'Exhibit G State'!H66</f>
        <v>0</v>
      </c>
      <c r="H90" s="1423"/>
      <c r="I90" s="1423">
        <f>+'Exhibit F'!J80+'Exhibit G State'!J66</f>
        <v>4.5999999999999996</v>
      </c>
      <c r="J90" s="1423"/>
      <c r="K90" s="1423">
        <f>+'Exhibit F'!L80+'Exhibit G State'!L66</f>
        <v>0.29999999999999982</v>
      </c>
      <c r="L90" s="1423"/>
      <c r="M90" s="1423">
        <f>+'Exhibit F'!N80+'Exhibit G State'!N66</f>
        <v>4.3000000000000016</v>
      </c>
      <c r="N90" s="1423"/>
      <c r="O90" s="1423">
        <f>+'Exhibit F'!P80+'Exhibit G State'!P66</f>
        <v>0.79999999999999893</v>
      </c>
      <c r="P90" s="1423"/>
      <c r="Q90" s="1423">
        <f>+'Exhibit F'!R80+'Exhibit G State'!R66</f>
        <v>8.6000000000000032</v>
      </c>
      <c r="R90" s="1423"/>
      <c r="S90" s="1423">
        <f>+'Exhibit F'!T80+'Exhibit G State'!T66</f>
        <v>29.299999999999997</v>
      </c>
      <c r="T90" s="1423"/>
      <c r="U90" s="1423">
        <f>+'Exhibit F'!V80+'Exhibit G State'!V66</f>
        <v>2</v>
      </c>
      <c r="V90" s="1423"/>
      <c r="W90" s="1423"/>
      <c r="X90" s="1423"/>
      <c r="Y90" s="1423"/>
      <c r="Z90" s="1423"/>
      <c r="AA90" s="2725"/>
      <c r="AB90" s="3083">
        <f t="shared" si="18"/>
        <v>50.1</v>
      </c>
      <c r="AC90" s="3083"/>
      <c r="AD90" s="3334"/>
      <c r="AE90" s="3083">
        <f>+'Exhibit F'!AF80+'Exhibit G State'!AG66</f>
        <v>46.3</v>
      </c>
      <c r="AF90" s="3085"/>
      <c r="AG90" s="3085"/>
      <c r="AH90" s="3083">
        <f t="shared" si="14"/>
        <v>3.8</v>
      </c>
      <c r="AI90" s="3042"/>
      <c r="AJ90" s="1808">
        <f>ROUND(SUM(AH90/ABS(AE90)),3)</f>
        <v>8.2000000000000003E-2</v>
      </c>
    </row>
    <row r="91" spans="1:36" ht="15">
      <c r="A91" s="2440" t="s">
        <v>949</v>
      </c>
      <c r="B91" s="1424"/>
      <c r="C91" s="1423">
        <f>+'Exhibit F'!D81+'Exhibit H'!B45+'Exhibit G State'!D67</f>
        <v>42</v>
      </c>
      <c r="D91" s="1423"/>
      <c r="E91" s="1423">
        <f>+'Exhibit F'!F81+'Exhibit H'!D45+'Exhibit G State'!F67</f>
        <v>2.0000000000000058</v>
      </c>
      <c r="F91" s="1423"/>
      <c r="G91" s="1423">
        <f>+'Exhibit F'!H81+'Exhibit H'!F45+'Exhibit G State'!H67</f>
        <v>9.1</v>
      </c>
      <c r="H91" s="1423"/>
      <c r="I91" s="1423">
        <f>+'Exhibit F'!J81+'Exhibit H'!H45+'Exhibit G State'!J67</f>
        <v>2.1999999999999944</v>
      </c>
      <c r="J91" s="1423"/>
      <c r="K91" s="1423">
        <f>+'Exhibit F'!L81+'Exhibit H'!J45+'Exhibit G State'!L67</f>
        <v>16.500000000000007</v>
      </c>
      <c r="L91" s="1423"/>
      <c r="M91" s="1423">
        <f>+'Exhibit F'!N81+'Exhibit H'!L45+'Exhibit G State'!N67</f>
        <v>84.999999999999986</v>
      </c>
      <c r="N91" s="1423"/>
      <c r="O91" s="1423">
        <f>+'Exhibit F'!P81+'Exhibit H'!N45+'Exhibit G State'!P67</f>
        <v>77.400000000000006</v>
      </c>
      <c r="P91" s="1423"/>
      <c r="Q91" s="1423">
        <f>+'Exhibit F'!R81+'Exhibit H'!P45+'Exhibit G State'!R67</f>
        <v>25.100000000000012</v>
      </c>
      <c r="R91" s="1423"/>
      <c r="S91" s="1423">
        <f>+'Exhibit F'!T81+'Exhibit H'!R45+'Exhibit G State'!T67</f>
        <v>19.7</v>
      </c>
      <c r="T91" s="1423"/>
      <c r="U91" s="1423">
        <f>+'Exhibit F'!V81+'Exhibit H'!T45+'Exhibit G State'!V67</f>
        <v>35.499999999999908</v>
      </c>
      <c r="V91" s="1423"/>
      <c r="W91" s="1423"/>
      <c r="X91" s="1423"/>
      <c r="Y91" s="1423"/>
      <c r="Z91" s="1423"/>
      <c r="AA91" s="2725"/>
      <c r="AB91" s="3083">
        <f t="shared" si="18"/>
        <v>314.5</v>
      </c>
      <c r="AC91" s="3083"/>
      <c r="AD91" s="3334"/>
      <c r="AE91" s="3083">
        <f>+'Exhibit F'!AF81+'Exhibit H'!AD45+'Exhibit G State'!AG67</f>
        <v>102.10000000000001</v>
      </c>
      <c r="AF91" s="3085"/>
      <c r="AG91" s="3085"/>
      <c r="AH91" s="3083">
        <f t="shared" si="14"/>
        <v>212.4</v>
      </c>
      <c r="AI91" s="3042"/>
      <c r="AJ91" s="1808">
        <f>ROUND(SUM(AH91/ABS(AE91)),3)</f>
        <v>2.08</v>
      </c>
    </row>
    <row r="92" spans="1:36" ht="15">
      <c r="A92" s="2440" t="s">
        <v>1048</v>
      </c>
      <c r="B92" s="1424"/>
      <c r="C92" s="1423"/>
      <c r="D92" s="1423"/>
      <c r="E92" s="1423"/>
      <c r="F92" s="1423"/>
      <c r="G92" s="1423"/>
      <c r="H92" s="1423"/>
      <c r="I92" s="1423"/>
      <c r="J92" s="1423"/>
      <c r="K92" s="1423"/>
      <c r="L92" s="1423"/>
      <c r="M92" s="1423"/>
      <c r="N92" s="1423"/>
      <c r="O92" s="1423"/>
      <c r="P92" s="1423"/>
      <c r="Q92" s="1423"/>
      <c r="R92" s="1423"/>
      <c r="S92" s="1423"/>
      <c r="T92" s="1423"/>
      <c r="U92" s="1423"/>
      <c r="V92" s="1423"/>
      <c r="W92" s="1423"/>
      <c r="X92" s="1423"/>
      <c r="Y92" s="1423"/>
      <c r="Z92" s="1423"/>
      <c r="AA92" s="2725"/>
      <c r="AB92" s="3083"/>
      <c r="AC92" s="3083"/>
      <c r="AD92" s="3334"/>
      <c r="AE92" s="3083"/>
      <c r="AF92" s="3085"/>
      <c r="AG92" s="3085"/>
      <c r="AH92" s="3083"/>
      <c r="AI92" s="3042"/>
      <c r="AJ92" s="1703"/>
    </row>
    <row r="93" spans="1:36" ht="15">
      <c r="A93" s="2440" t="s">
        <v>950</v>
      </c>
      <c r="B93" s="1424"/>
      <c r="C93" s="1423">
        <f>+'Exhibit F'!D83+'Exhibit G State'!D69</f>
        <v>45.8</v>
      </c>
      <c r="D93" s="1423"/>
      <c r="E93" s="1423">
        <f>+'Exhibit F'!F83+'Exhibit G State'!F69</f>
        <v>9.1999999999999993</v>
      </c>
      <c r="F93" s="1423"/>
      <c r="G93" s="1423">
        <f>+'Exhibit F'!H83+'Exhibit G State'!H69</f>
        <v>36</v>
      </c>
      <c r="H93" s="1423"/>
      <c r="I93" s="1423">
        <f>+'Exhibit F'!J83+'Exhibit G State'!J69</f>
        <v>8.5999999999999908</v>
      </c>
      <c r="J93" s="1423"/>
      <c r="K93" s="1423">
        <f>+'Exhibit F'!L83+'Exhibit G State'!L69</f>
        <v>9.1000000000000085</v>
      </c>
      <c r="L93" s="1423"/>
      <c r="M93" s="1423">
        <f>+'Exhibit F'!N83+'Exhibit G State'!N69</f>
        <v>23.5</v>
      </c>
      <c r="N93" s="1423"/>
      <c r="O93" s="1423">
        <f>+'Exhibit F'!P83+'Exhibit G State'!P69</f>
        <v>8.6999999999999957</v>
      </c>
      <c r="P93" s="1423"/>
      <c r="Q93" s="1423">
        <f>+'Exhibit F'!R83+'Exhibit G State'!R69</f>
        <v>8.5000000000000036</v>
      </c>
      <c r="R93" s="1423"/>
      <c r="S93" s="1423">
        <f>+'Exhibit F'!T83+'Exhibit G State'!T69</f>
        <v>61.000000000000014</v>
      </c>
      <c r="T93" s="1423"/>
      <c r="U93" s="1423">
        <f>+'Exhibit F'!V83+'Exhibit G State'!V69</f>
        <v>8.2999999999999687</v>
      </c>
      <c r="V93" s="1423"/>
      <c r="W93" s="1423"/>
      <c r="X93" s="1423"/>
      <c r="Y93" s="1423"/>
      <c r="Z93" s="1423"/>
      <c r="AA93" s="2725"/>
      <c r="AB93" s="3083">
        <f t="shared" ref="AB93:AB104" si="19">ROUND(SUM(C93:Y93),1)</f>
        <v>218.7</v>
      </c>
      <c r="AC93" s="3083"/>
      <c r="AD93" s="3334"/>
      <c r="AE93" s="3083">
        <f>+'Exhibit F'!AF83+'Exhibit G State'!AG69</f>
        <v>167</v>
      </c>
      <c r="AF93" s="3085"/>
      <c r="AG93" s="3085"/>
      <c r="AH93" s="3083">
        <f t="shared" si="14"/>
        <v>51.7</v>
      </c>
      <c r="AI93" s="3042"/>
      <c r="AJ93" s="1808">
        <f>ROUND(SUM(AH93/ABS(AE93)),3)</f>
        <v>0.31</v>
      </c>
    </row>
    <row r="94" spans="1:36" ht="15">
      <c r="A94" s="2440" t="s">
        <v>951</v>
      </c>
      <c r="B94" s="1424"/>
      <c r="C94" s="1423">
        <f>+'Exhibit G State'!D70+'Exhibit F'!D84</f>
        <v>0.9</v>
      </c>
      <c r="D94" s="1423"/>
      <c r="E94" s="1423">
        <f>+'Exhibit G State'!F70+'Exhibit F'!F84</f>
        <v>0.80000000000000138</v>
      </c>
      <c r="F94" s="1423"/>
      <c r="G94" s="1423">
        <f>+'Exhibit G State'!H70+'Exhibit F'!H84</f>
        <v>0.19999999999999568</v>
      </c>
      <c r="H94" s="1423"/>
      <c r="I94" s="1423">
        <f>+'Exhibit G State'!J70+'Exhibit F'!J84</f>
        <v>0.60000000000000009</v>
      </c>
      <c r="J94" s="1423"/>
      <c r="K94" s="1423">
        <f>+'Exhibit G State'!L70+'Exhibit F'!L84</f>
        <v>0.39999999999999147</v>
      </c>
      <c r="L94" s="1423"/>
      <c r="M94" s="1423">
        <f>+'Exhibit G State'!N70+'Exhibit F'!N84</f>
        <v>1.3000000000000342</v>
      </c>
      <c r="N94" s="1423"/>
      <c r="O94" s="1423">
        <f>+'Exhibit G State'!P70+'Exhibit F'!P84</f>
        <v>0.69999999999998863</v>
      </c>
      <c r="P94" s="1423"/>
      <c r="Q94" s="1423">
        <f>+'Exhibit G State'!R70+'Exhibit F'!R84</f>
        <v>0.89999999999997726</v>
      </c>
      <c r="R94" s="1423"/>
      <c r="S94" s="1423">
        <f>+'Exhibit G State'!T70+'Exhibit F'!T84</f>
        <v>14.399999999999977</v>
      </c>
      <c r="T94" s="1423"/>
      <c r="U94" s="1423">
        <f>+'Exhibit G State'!V70+'Exhibit F'!V84</f>
        <v>1.2000000000000184</v>
      </c>
      <c r="V94" s="1423"/>
      <c r="W94" s="1423"/>
      <c r="X94" s="1423"/>
      <c r="Y94" s="1423"/>
      <c r="Z94" s="1423"/>
      <c r="AA94" s="2725"/>
      <c r="AB94" s="3083">
        <f t="shared" si="19"/>
        <v>21.4</v>
      </c>
      <c r="AC94" s="3083"/>
      <c r="AD94" s="3334"/>
      <c r="AE94" s="3083">
        <f>+'Exhibit G State'!AG70+'Exhibit F'!AF84</f>
        <v>18.5</v>
      </c>
      <c r="AF94" s="3085"/>
      <c r="AG94" s="3085"/>
      <c r="AH94" s="3083">
        <f t="shared" si="14"/>
        <v>2.9</v>
      </c>
      <c r="AI94" s="3042"/>
      <c r="AJ94" s="1708">
        <f>ROUND(IF(AE94=0,1,AH94/ABS(AE94)),3)</f>
        <v>0.157</v>
      </c>
    </row>
    <row r="95" spans="1:36" ht="15">
      <c r="A95" s="880" t="s">
        <v>1273</v>
      </c>
      <c r="B95" s="1424"/>
      <c r="C95" s="1423">
        <v>0</v>
      </c>
      <c r="D95" s="1423"/>
      <c r="E95" s="1423">
        <v>0</v>
      </c>
      <c r="F95" s="1423"/>
      <c r="G95" s="1423">
        <v>0</v>
      </c>
      <c r="H95" s="1423"/>
      <c r="I95" s="1423">
        <v>0</v>
      </c>
      <c r="J95" s="1423"/>
      <c r="K95" s="1423">
        <v>0</v>
      </c>
      <c r="L95" s="1423"/>
      <c r="M95" s="1423">
        <v>0</v>
      </c>
      <c r="N95" s="1423"/>
      <c r="O95" s="1423">
        <v>0</v>
      </c>
      <c r="P95" s="1423"/>
      <c r="Q95" s="1423">
        <v>0</v>
      </c>
      <c r="R95" s="1423"/>
      <c r="S95" s="1423">
        <f>'Exhibit G State'!T71</f>
        <v>178</v>
      </c>
      <c r="T95" s="1423"/>
      <c r="U95" s="1423">
        <f>'Exhibit G State'!V71</f>
        <v>50</v>
      </c>
      <c r="V95" s="1423"/>
      <c r="W95" s="1423"/>
      <c r="X95" s="1423"/>
      <c r="Y95" s="1423"/>
      <c r="Z95" s="1423"/>
      <c r="AA95" s="2725"/>
      <c r="AB95" s="3083">
        <f t="shared" si="19"/>
        <v>228</v>
      </c>
      <c r="AC95" s="3083"/>
      <c r="AD95" s="3334"/>
      <c r="AE95" s="3083">
        <f>+'Exhibit G State'!AG71</f>
        <v>118</v>
      </c>
      <c r="AF95" s="3085"/>
      <c r="AG95" s="3085"/>
      <c r="AH95" s="3083">
        <f t="shared" si="14"/>
        <v>110</v>
      </c>
      <c r="AI95" s="3042"/>
      <c r="AJ95" s="1703">
        <f>ROUND(IF(AE95=0,0,AH95/ABS(AE95)),3)</f>
        <v>0.93200000000000005</v>
      </c>
    </row>
    <row r="96" spans="1:36" ht="15">
      <c r="A96" s="2440" t="s">
        <v>952</v>
      </c>
      <c r="B96" s="1424"/>
      <c r="C96" s="1423">
        <f>+'Exhibit F'!D85+'Exhibit G State'!D72</f>
        <v>0.7</v>
      </c>
      <c r="D96" s="1423"/>
      <c r="E96" s="1423">
        <f>+'Exhibit F'!F85+'Exhibit G State'!F72</f>
        <v>0.8</v>
      </c>
      <c r="F96" s="1423"/>
      <c r="G96" s="1423">
        <f>+'Exhibit F'!H85+'Exhibit G State'!H72</f>
        <v>0.5</v>
      </c>
      <c r="H96" s="1423"/>
      <c r="I96" s="1423">
        <f>+'Exhibit F'!J85+'Exhibit G State'!J72</f>
        <v>0.29999999999999982</v>
      </c>
      <c r="J96" s="1423"/>
      <c r="K96" s="1423">
        <f>+'Exhibit F'!L85+'Exhibit G State'!L72</f>
        <v>0.50000000000000022</v>
      </c>
      <c r="L96" s="1423"/>
      <c r="M96" s="1423">
        <f>+'Exhibit F'!N85+'Exhibit G State'!N72</f>
        <v>1.7000000000000002</v>
      </c>
      <c r="N96" s="1423"/>
      <c r="O96" s="1423">
        <f>+'Exhibit F'!P85+'Exhibit G State'!P72</f>
        <v>9.9999999999999645E-2</v>
      </c>
      <c r="P96" s="1423"/>
      <c r="Q96" s="1423">
        <f>+'Exhibit F'!R85+'Exhibit G State'!R72</f>
        <v>12.5</v>
      </c>
      <c r="R96" s="1423"/>
      <c r="S96" s="1423">
        <f>+'Exhibit F'!T85+'Exhibit G State'!T72</f>
        <v>0.29999999999999982</v>
      </c>
      <c r="T96" s="1423"/>
      <c r="U96" s="1423">
        <f>+'Exhibit F'!V85+'Exhibit G State'!V72</f>
        <v>0.5</v>
      </c>
      <c r="V96" s="1423"/>
      <c r="W96" s="1423"/>
      <c r="X96" s="1423"/>
      <c r="Y96" s="1423"/>
      <c r="Z96" s="1423"/>
      <c r="AA96" s="2725"/>
      <c r="AB96" s="3083">
        <f t="shared" si="19"/>
        <v>17.899999999999999</v>
      </c>
      <c r="AC96" s="3083"/>
      <c r="AD96" s="3334"/>
      <c r="AE96" s="3083">
        <f>+'Exhibit F'!AF85+'Exhibit G State'!AG72</f>
        <v>33.200000000000003</v>
      </c>
      <c r="AF96" s="3085"/>
      <c r="AG96" s="3085"/>
      <c r="AH96" s="3083">
        <f t="shared" si="14"/>
        <v>-15.3</v>
      </c>
      <c r="AI96" s="3042"/>
      <c r="AJ96" s="1808">
        <f t="shared" ref="AJ96:AJ103" si="20">ROUND(SUM(AH96/ABS(AE96)),3)</f>
        <v>-0.46100000000000002</v>
      </c>
    </row>
    <row r="97" spans="1:45" ht="15">
      <c r="A97" s="2440" t="s">
        <v>953</v>
      </c>
      <c r="B97" s="1424"/>
      <c r="C97" s="1423">
        <f>+'Exhibit F'!D86+'Exhibit G State'!D73</f>
        <v>4.9000000000000004</v>
      </c>
      <c r="D97" s="1423"/>
      <c r="E97" s="1423">
        <f>+'Exhibit F'!F86+'Exhibit G State'!F73</f>
        <v>5.6999999999999993</v>
      </c>
      <c r="F97" s="1423"/>
      <c r="G97" s="1423">
        <f>+'Exhibit F'!H86+'Exhibit G State'!H73</f>
        <v>6.3000000000000025</v>
      </c>
      <c r="H97" s="1423"/>
      <c r="I97" s="1423">
        <f>+'Exhibit F'!J86+'Exhibit G State'!J73</f>
        <v>4.9999999999999982</v>
      </c>
      <c r="J97" s="1423"/>
      <c r="K97" s="1423">
        <f>+'Exhibit F'!L86+'Exhibit G State'!L73</f>
        <v>6</v>
      </c>
      <c r="L97" s="1423"/>
      <c r="M97" s="1423">
        <f>+'Exhibit F'!N86+'Exhibit G State'!N73</f>
        <v>7.6</v>
      </c>
      <c r="N97" s="1423"/>
      <c r="O97" s="1423">
        <f>+'Exhibit F'!P86+'Exhibit G State'!P73</f>
        <v>5.3000000000000043</v>
      </c>
      <c r="P97" s="1423"/>
      <c r="Q97" s="1423">
        <f>+'Exhibit F'!R86+'Exhibit G State'!R73</f>
        <v>14.299999999999999</v>
      </c>
      <c r="R97" s="1423"/>
      <c r="S97" s="1423">
        <f>+'Exhibit F'!T86+'Exhibit G State'!T73</f>
        <v>7.5000000000000018</v>
      </c>
      <c r="T97" s="1423"/>
      <c r="U97" s="1423">
        <f>+'Exhibit F'!V86+'Exhibit G State'!V73</f>
        <v>7.9000000000000092</v>
      </c>
      <c r="V97" s="1423"/>
      <c r="W97" s="1423"/>
      <c r="X97" s="1423"/>
      <c r="Y97" s="1423"/>
      <c r="Z97" s="1423"/>
      <c r="AA97" s="2725"/>
      <c r="AB97" s="3083">
        <f t="shared" si="19"/>
        <v>70.5</v>
      </c>
      <c r="AC97" s="3083"/>
      <c r="AD97" s="3334"/>
      <c r="AE97" s="3083">
        <f>+'Exhibit F'!AF86+'Exhibit G State'!AG73</f>
        <v>61.5</v>
      </c>
      <c r="AF97" s="3085"/>
      <c r="AG97" s="3085"/>
      <c r="AH97" s="3083">
        <f t="shared" si="14"/>
        <v>9</v>
      </c>
      <c r="AI97" s="3042"/>
      <c r="AJ97" s="1797">
        <f t="shared" si="20"/>
        <v>0.14599999999999999</v>
      </c>
    </row>
    <row r="98" spans="1:45" ht="15">
      <c r="A98" s="2440" t="s">
        <v>954</v>
      </c>
      <c r="B98" s="1424"/>
      <c r="C98" s="1423">
        <f>+'Exhibit F'!D87+'Exhibit H'!B47+'Exhibit G State'!D74</f>
        <v>295.79999999999995</v>
      </c>
      <c r="D98" s="1423"/>
      <c r="E98" s="1423">
        <f>+'Exhibit F'!F87+'Exhibit H'!D47+'Exhibit G State'!F74</f>
        <v>223.60000000000002</v>
      </c>
      <c r="F98" s="1423"/>
      <c r="G98" s="1423">
        <f>+'Exhibit F'!H87+'Exhibit H'!F47+'Exhibit G State'!H74</f>
        <v>214.50000000000006</v>
      </c>
      <c r="H98" s="1423"/>
      <c r="I98" s="1423">
        <f>+'Exhibit F'!J87+'Exhibit H'!H47+'Exhibit G State'!J74</f>
        <v>293.29999999999995</v>
      </c>
      <c r="J98" s="1423"/>
      <c r="K98" s="1423">
        <f>+'Exhibit F'!L87+'Exhibit H'!J47+'Exhibit G State'!L74</f>
        <v>205.89999999999998</v>
      </c>
      <c r="L98" s="1423"/>
      <c r="M98" s="1423">
        <f>+'Exhibit F'!N87+'Exhibit H'!L47+'Exhibit G State'!N74</f>
        <v>251.39999999999998</v>
      </c>
      <c r="N98" s="1423"/>
      <c r="O98" s="1423">
        <f>+'Exhibit F'!P87+'Exhibit H'!N47+'Exhibit G State'!P74</f>
        <v>210.20000000000007</v>
      </c>
      <c r="P98" s="1423"/>
      <c r="Q98" s="1423">
        <f>+'Exhibit F'!R87+'Exhibit H'!P47+'Exhibit G State'!R74</f>
        <v>278.69999999999982</v>
      </c>
      <c r="R98" s="1423"/>
      <c r="S98" s="1423">
        <f>+'Exhibit F'!T87+'Exhibit H'!R47+'Exhibit G State'!T74</f>
        <v>233.60000000000025</v>
      </c>
      <c r="T98" s="1423"/>
      <c r="U98" s="1423">
        <f>+'Exhibit F'!V87+'Exhibit H'!T47+'Exhibit G State'!V74</f>
        <v>223.99999999999989</v>
      </c>
      <c r="V98" s="1423"/>
      <c r="W98" s="1423"/>
      <c r="X98" s="1423"/>
      <c r="Y98" s="1423"/>
      <c r="Z98" s="1423"/>
      <c r="AA98" s="2725"/>
      <c r="AB98" s="3083">
        <f t="shared" si="19"/>
        <v>2431</v>
      </c>
      <c r="AC98" s="3083"/>
      <c r="AD98" s="3334"/>
      <c r="AE98" s="3083">
        <f>+'Exhibit F'!AF87+'Exhibit H'!AD47+'Exhibit G State'!AG74</f>
        <v>2836.2000000000003</v>
      </c>
      <c r="AF98" s="3085"/>
      <c r="AG98" s="3085"/>
      <c r="AH98" s="3083">
        <f t="shared" si="14"/>
        <v>-405.2</v>
      </c>
      <c r="AI98" s="3042"/>
      <c r="AJ98" s="1797">
        <f t="shared" si="20"/>
        <v>-0.14299999999999999</v>
      </c>
    </row>
    <row r="99" spans="1:45" ht="15">
      <c r="A99" s="2440" t="s">
        <v>955</v>
      </c>
      <c r="B99" s="1424"/>
      <c r="C99" s="1423">
        <f>+'Exhibit G State'!D75+'Exhibit F'!D88</f>
        <v>4.7</v>
      </c>
      <c r="D99" s="1423"/>
      <c r="E99" s="1423">
        <f>+'Exhibit G State'!F75+'Exhibit F'!F88</f>
        <v>2.1</v>
      </c>
      <c r="F99" s="1423"/>
      <c r="G99" s="1423">
        <f>+'Exhibit G State'!H75+'Exhibit F'!H88</f>
        <v>6.8</v>
      </c>
      <c r="H99" s="1423"/>
      <c r="I99" s="1423">
        <f>+'Exhibit G State'!J75+'Exhibit F'!J88</f>
        <v>4.8000000000000025</v>
      </c>
      <c r="J99" s="1423"/>
      <c r="K99" s="1423">
        <f>+'Exhibit G State'!L75+'Exhibit F'!L88</f>
        <v>3.4999999999999991</v>
      </c>
      <c r="L99" s="1423"/>
      <c r="M99" s="1423">
        <f>+'Exhibit G State'!N75+'Exhibit F'!N88</f>
        <v>7.4999999999999991</v>
      </c>
      <c r="N99" s="1423"/>
      <c r="O99" s="1423">
        <f>+'Exhibit G State'!P75+'Exhibit F'!P88</f>
        <v>8.3000000000000025</v>
      </c>
      <c r="P99" s="1423"/>
      <c r="Q99" s="1423">
        <f>+'Exhibit G State'!R75+'Exhibit F'!R88</f>
        <v>2.5999999999999988</v>
      </c>
      <c r="R99" s="1423"/>
      <c r="S99" s="1423">
        <f>+'Exhibit G State'!T75+'Exhibit F'!T88</f>
        <v>3.6999999999999922</v>
      </c>
      <c r="T99" s="1423"/>
      <c r="U99" s="1423">
        <f>+'Exhibit G State'!V75+'Exhibit F'!V88</f>
        <v>6.4000000000000021</v>
      </c>
      <c r="V99" s="1423"/>
      <c r="W99" s="1423"/>
      <c r="X99" s="1423"/>
      <c r="Y99" s="1423"/>
      <c r="Z99" s="1423"/>
      <c r="AA99" s="2725"/>
      <c r="AB99" s="3083">
        <f t="shared" si="19"/>
        <v>50.4</v>
      </c>
      <c r="AC99" s="3083"/>
      <c r="AD99" s="3334"/>
      <c r="AE99" s="3083">
        <f>+'Exhibit G State'!AG75+'Exhibit F'!AF88</f>
        <v>50.1</v>
      </c>
      <c r="AF99" s="3085"/>
      <c r="AG99" s="3085"/>
      <c r="AH99" s="3083">
        <f t="shared" si="14"/>
        <v>0.3</v>
      </c>
      <c r="AI99" s="3042"/>
      <c r="AJ99" s="1797">
        <f>ROUND(SUM(AH99/ABS(AE99)),3)</f>
        <v>6.0000000000000001E-3</v>
      </c>
    </row>
    <row r="100" spans="1:45" ht="15">
      <c r="A100" s="2440" t="s">
        <v>956</v>
      </c>
      <c r="B100" s="1424"/>
      <c r="C100" s="1423">
        <f>+'Exhibit F'!D89+'Exhibit G State'!D76</f>
        <v>1.2</v>
      </c>
      <c r="D100" s="1423"/>
      <c r="E100" s="1423">
        <f>+'Exhibit F'!F89+'Exhibit G State'!F76</f>
        <v>9.8000000000000007</v>
      </c>
      <c r="F100" s="1423"/>
      <c r="G100" s="1423">
        <f>+'Exhibit F'!H89+'Exhibit G State'!H76</f>
        <v>7.3999999999999995</v>
      </c>
      <c r="H100" s="1423"/>
      <c r="I100" s="1423">
        <f>+'Exhibit F'!J89+'Exhibit G State'!J76</f>
        <v>0.60000000000000142</v>
      </c>
      <c r="J100" s="1423"/>
      <c r="K100" s="1423">
        <f>+'Exhibit F'!L89+'Exhibit G State'!L76</f>
        <v>0.89999999999999858</v>
      </c>
      <c r="L100" s="1423"/>
      <c r="M100" s="1423">
        <f>+'Exhibit F'!N89+'Exhibit G State'!N76</f>
        <v>3.9000000000000021</v>
      </c>
      <c r="N100" s="1423"/>
      <c r="O100" s="1423">
        <f>+'Exhibit F'!P89+'Exhibit G State'!P76</f>
        <v>17.199999999999992</v>
      </c>
      <c r="P100" s="1423"/>
      <c r="Q100" s="1423">
        <f>+'Exhibit F'!R89+'Exhibit G State'!R76</f>
        <v>2.1000000000000014</v>
      </c>
      <c r="R100" s="1423"/>
      <c r="S100" s="1423">
        <f>+'Exhibit F'!T89+'Exhibit G State'!T76</f>
        <v>0.49999999999999928</v>
      </c>
      <c r="T100" s="1423"/>
      <c r="U100" s="1423">
        <f>+'Exhibit F'!V89+'Exhibit G State'!V76</f>
        <v>5.7999999999999972</v>
      </c>
      <c r="V100" s="1423"/>
      <c r="W100" s="1423"/>
      <c r="X100" s="1423"/>
      <c r="Y100" s="1423"/>
      <c r="Z100" s="1423"/>
      <c r="AA100" s="2725"/>
      <c r="AB100" s="3083">
        <f t="shared" si="19"/>
        <v>49.4</v>
      </c>
      <c r="AC100" s="3083"/>
      <c r="AD100" s="3334"/>
      <c r="AE100" s="3083">
        <f>+'Exhibit F'!AF89+'Exhibit G State'!AG76</f>
        <v>74.900000000000006</v>
      </c>
      <c r="AF100" s="3085"/>
      <c r="AG100" s="3085"/>
      <c r="AH100" s="3083">
        <f t="shared" si="14"/>
        <v>-25.5</v>
      </c>
      <c r="AI100" s="3042"/>
      <c r="AJ100" s="1808">
        <f t="shared" si="20"/>
        <v>-0.34</v>
      </c>
    </row>
    <row r="101" spans="1:45" ht="15">
      <c r="A101" s="2440" t="s">
        <v>957</v>
      </c>
      <c r="B101" s="1424"/>
      <c r="C101" s="1423">
        <f>+'Exhibit F'!D90+'Exhibit G State'!D77</f>
        <v>2.4</v>
      </c>
      <c r="D101" s="1423"/>
      <c r="E101" s="1423">
        <f>+'Exhibit F'!F90+'Exhibit G State'!F77</f>
        <v>5.6</v>
      </c>
      <c r="F101" s="1423"/>
      <c r="G101" s="1423">
        <f>+'Exhibit F'!H90+'Exhibit G State'!H77</f>
        <v>1.3000000000000007</v>
      </c>
      <c r="H101" s="1423"/>
      <c r="I101" s="1423">
        <f>+'Exhibit F'!J90+'Exhibit G State'!J77</f>
        <v>1.8999999999999986</v>
      </c>
      <c r="J101" s="1423"/>
      <c r="K101" s="1423">
        <f>+'Exhibit F'!L90+'Exhibit G State'!L77</f>
        <v>1.4000000000000004</v>
      </c>
      <c r="L101" s="1423"/>
      <c r="M101" s="1423">
        <f>+'Exhibit F'!N90+'Exhibit G State'!N77</f>
        <v>1.2000000000000011</v>
      </c>
      <c r="N101" s="1423"/>
      <c r="O101" s="1423">
        <f>+'Exhibit F'!P90+'Exhibit G State'!P77</f>
        <v>1.0999999999999996</v>
      </c>
      <c r="P101" s="1423"/>
      <c r="Q101" s="1423">
        <f>+'Exhibit F'!R90+'Exhibit G State'!R77</f>
        <v>5</v>
      </c>
      <c r="R101" s="1423"/>
      <c r="S101" s="1423">
        <f>+'Exhibit F'!T90+'Exhibit G State'!T77</f>
        <v>1.5</v>
      </c>
      <c r="T101" s="1423"/>
      <c r="U101" s="1423">
        <f>+'Exhibit F'!V90+'Exhibit G State'!V77</f>
        <v>-0.59999999999999787</v>
      </c>
      <c r="V101" s="1423"/>
      <c r="W101" s="1423"/>
      <c r="X101" s="1423"/>
      <c r="Y101" s="1423"/>
      <c r="Z101" s="1423"/>
      <c r="AA101" s="2725"/>
      <c r="AB101" s="3083">
        <f t="shared" si="19"/>
        <v>20.8</v>
      </c>
      <c r="AC101" s="3083"/>
      <c r="AD101" s="3334"/>
      <c r="AE101" s="3083">
        <f>+'Exhibit F'!AF90+'Exhibit G State'!AG77</f>
        <v>44.3</v>
      </c>
      <c r="AF101" s="3085"/>
      <c r="AG101" s="3085"/>
      <c r="AH101" s="3083">
        <f t="shared" si="14"/>
        <v>-23.5</v>
      </c>
      <c r="AI101" s="3042"/>
      <c r="AJ101" s="1797">
        <f t="shared" si="20"/>
        <v>-0.53</v>
      </c>
    </row>
    <row r="102" spans="1:45" ht="15">
      <c r="A102" s="2440" t="s">
        <v>958</v>
      </c>
      <c r="B102" s="1424"/>
      <c r="C102" s="1423">
        <f>+'Exhibit F'!D91+'Exhibit G State'!D78+'Exhibit H'!B48</f>
        <v>84.699999999999989</v>
      </c>
      <c r="D102" s="1423"/>
      <c r="E102" s="1423">
        <f>+'Exhibit F'!F91+'Exhibit G State'!F78+'Exhibit H'!D48</f>
        <v>60.20000000000001</v>
      </c>
      <c r="F102" s="1423"/>
      <c r="G102" s="1423">
        <f>+'Exhibit F'!H91+'Exhibit G State'!H78+'Exhibit H'!F48</f>
        <v>58.999999999999986</v>
      </c>
      <c r="H102" s="1423"/>
      <c r="I102" s="1423">
        <f>+'Exhibit F'!J91+'Exhibit G State'!J78+'Exhibit H'!H48</f>
        <v>69.900000000000006</v>
      </c>
      <c r="J102" s="1423"/>
      <c r="K102" s="1423">
        <f>+'Exhibit F'!L91+'Exhibit G State'!L78+'Exhibit H'!J48</f>
        <v>74.399999999999977</v>
      </c>
      <c r="L102" s="1423"/>
      <c r="M102" s="1423">
        <f>+'Exhibit F'!N91+'Exhibit G State'!N78+'Exhibit H'!L48</f>
        <v>33.200000000000045</v>
      </c>
      <c r="N102" s="1423"/>
      <c r="O102" s="1423">
        <f>+'Exhibit F'!P91+'Exhibit G State'!P78+'Exhibit H'!N48</f>
        <v>72.399999999999991</v>
      </c>
      <c r="P102" s="1423"/>
      <c r="Q102" s="1423">
        <f>+'Exhibit F'!R91+'Exhibit G State'!R78+'Exhibit H'!P48</f>
        <v>28.500000000000036</v>
      </c>
      <c r="R102" s="1423"/>
      <c r="S102" s="1423">
        <f>+'Exhibit F'!T91+'Exhibit G State'!T78+'Exhibit H'!R48</f>
        <v>69.399999999999991</v>
      </c>
      <c r="T102" s="1423"/>
      <c r="U102" s="1423">
        <f>+'Exhibit F'!V91+'Exhibit G State'!V78+'Exhibit H'!T48</f>
        <v>124.59999999999998</v>
      </c>
      <c r="V102" s="1423"/>
      <c r="W102" s="1423"/>
      <c r="X102" s="1423"/>
      <c r="Y102" s="1423"/>
      <c r="Z102" s="1423"/>
      <c r="AA102" s="2725"/>
      <c r="AB102" s="3083">
        <f t="shared" si="19"/>
        <v>676.3</v>
      </c>
      <c r="AC102" s="3083"/>
      <c r="AD102" s="3334"/>
      <c r="AE102" s="3083">
        <f>+'Exhibit F'!AF91+'Exhibit G State'!AG78+'Exhibit H'!AD48</f>
        <v>393.9</v>
      </c>
      <c r="AF102" s="3085"/>
      <c r="AG102" s="3085"/>
      <c r="AH102" s="3083">
        <f t="shared" si="14"/>
        <v>282.39999999999998</v>
      </c>
      <c r="AI102" s="3042"/>
      <c r="AJ102" s="1808">
        <f t="shared" si="20"/>
        <v>0.71699999999999997</v>
      </c>
    </row>
    <row r="103" spans="1:45" ht="15">
      <c r="A103" s="2440" t="s">
        <v>959</v>
      </c>
      <c r="B103" s="1424"/>
      <c r="C103" s="1423">
        <f>+'Exhibit F'!D92+'Exhibit G State'!D79+'Exhibit H'!B49</f>
        <v>2.3000000000000003</v>
      </c>
      <c r="D103" s="1423"/>
      <c r="E103" s="1423">
        <f>+'Exhibit F'!F92+'Exhibit G State'!F79+'Exhibit H'!D49</f>
        <v>0.5</v>
      </c>
      <c r="F103" s="1423"/>
      <c r="G103" s="1423">
        <f>+'Exhibit F'!H92+'Exhibit G State'!H79+'Exhibit H'!F49</f>
        <v>1.7000000000000002</v>
      </c>
      <c r="H103" s="1423"/>
      <c r="I103" s="1423">
        <f>+'Exhibit F'!J92+'Exhibit G State'!J79+'Exhibit H'!H49</f>
        <v>1.2999999999999994</v>
      </c>
      <c r="J103" s="1423"/>
      <c r="K103" s="1423">
        <f>+'Exhibit F'!L92+'Exhibit G State'!L79+'Exhibit H'!J49</f>
        <v>0.90000000000000036</v>
      </c>
      <c r="L103" s="1423"/>
      <c r="M103" s="1423">
        <f>+'Exhibit F'!N92+'Exhibit G State'!N79+'Exhibit H'!L49</f>
        <v>3</v>
      </c>
      <c r="N103" s="1423"/>
      <c r="O103" s="1423">
        <f>+'Exhibit F'!P92+'Exhibit G State'!P79+'Exhibit H'!N49</f>
        <v>8.5000000000000018</v>
      </c>
      <c r="P103" s="1423"/>
      <c r="Q103" s="1423">
        <f>+'Exhibit F'!R92+'Exhibit G State'!R79+'Exhibit H'!P49</f>
        <v>2</v>
      </c>
      <c r="R103" s="1423"/>
      <c r="S103" s="1423">
        <f>+'Exhibit F'!T92+'Exhibit G State'!T79+'Exhibit H'!R49</f>
        <v>1.3000000000000007</v>
      </c>
      <c r="T103" s="1423"/>
      <c r="U103" s="1423">
        <f>+'Exhibit F'!V92+'Exhibit G State'!V79+'Exhibit H'!T49</f>
        <v>0.59999999999999787</v>
      </c>
      <c r="V103" s="1423"/>
      <c r="W103" s="1423"/>
      <c r="X103" s="1423"/>
      <c r="Y103" s="1423"/>
      <c r="Z103" s="1423"/>
      <c r="AA103" s="2725"/>
      <c r="AB103" s="3083">
        <f t="shared" si="19"/>
        <v>22.1</v>
      </c>
      <c r="AC103" s="3083"/>
      <c r="AD103" s="3334"/>
      <c r="AE103" s="3083">
        <f>+'Exhibit F'!AF92+'Exhibit G State'!AG79+'Exhibit H'!AD49</f>
        <v>12.1</v>
      </c>
      <c r="AF103" s="3085"/>
      <c r="AG103" s="3085"/>
      <c r="AH103" s="3083">
        <f t="shared" si="14"/>
        <v>10</v>
      </c>
      <c r="AI103" s="3042"/>
      <c r="AJ103" s="1797">
        <f t="shared" si="20"/>
        <v>0.82599999999999996</v>
      </c>
    </row>
    <row r="104" spans="1:45" ht="15">
      <c r="A104" s="2440" t="s">
        <v>960</v>
      </c>
      <c r="B104" s="1424"/>
      <c r="C104" s="1423">
        <f>+'Exhibit G State'!D80</f>
        <v>-75.7</v>
      </c>
      <c r="D104" s="1423"/>
      <c r="E104" s="1423">
        <f>+'Exhibit G State'!F80</f>
        <v>41.6</v>
      </c>
      <c r="F104" s="1423"/>
      <c r="G104" s="1423">
        <f>+'Exhibit G State'!H80</f>
        <v>51.300000000000004</v>
      </c>
      <c r="H104" s="1423"/>
      <c r="I104" s="1423">
        <f>+'Exhibit G State'!J80</f>
        <v>56.6</v>
      </c>
      <c r="J104" s="1423"/>
      <c r="K104" s="1423">
        <f>+'Exhibit G State'!L80</f>
        <v>203.99999999999997</v>
      </c>
      <c r="L104" s="1423"/>
      <c r="M104" s="1423">
        <f>+'Exhibit G State'!N80</f>
        <v>243.30000000000004</v>
      </c>
      <c r="N104" s="1423"/>
      <c r="O104" s="1423">
        <f>+'Exhibit G State'!P80</f>
        <v>125.10000000000005</v>
      </c>
      <c r="P104" s="1423"/>
      <c r="Q104" s="1423">
        <f>+'Exhibit G State'!R80</f>
        <v>31.299999999999955</v>
      </c>
      <c r="R104" s="1423"/>
      <c r="S104" s="1423">
        <f>+'Exhibit G State'!T80</f>
        <v>2.7000000000000455</v>
      </c>
      <c r="T104" s="1423"/>
      <c r="U104" s="1423">
        <f>+'Exhibit G State'!V80</f>
        <v>182.29999999999993</v>
      </c>
      <c r="V104" s="1423"/>
      <c r="W104" s="1423"/>
      <c r="X104" s="1423"/>
      <c r="Y104" s="1423"/>
      <c r="Z104" s="1423"/>
      <c r="AA104" s="2725"/>
      <c r="AB104" s="3083">
        <f t="shared" si="19"/>
        <v>862.5</v>
      </c>
      <c r="AC104" s="3083"/>
      <c r="AD104" s="3334"/>
      <c r="AE104" s="3083">
        <f>+'Exhibit G State'!AG80</f>
        <v>903</v>
      </c>
      <c r="AF104" s="3085"/>
      <c r="AG104" s="3085"/>
      <c r="AH104" s="3083">
        <f t="shared" si="14"/>
        <v>-40.5</v>
      </c>
      <c r="AI104" s="3042"/>
      <c r="AJ104" s="1797">
        <f>ROUND(SUM(AH104/ABS(AE104)),3)</f>
        <v>-4.4999999999999998E-2</v>
      </c>
    </row>
    <row r="105" spans="1:45" ht="15.6">
      <c r="A105" s="2428" t="s">
        <v>993</v>
      </c>
      <c r="B105" s="2383"/>
      <c r="C105" s="2021">
        <f>ROUND(SUM(C63:C104),1)</f>
        <v>1534.9</v>
      </c>
      <c r="D105" s="2444"/>
      <c r="E105" s="2021">
        <f>ROUND(SUM(E63:E104),1)</f>
        <v>1432.8</v>
      </c>
      <c r="F105" s="2444"/>
      <c r="G105" s="2021">
        <f>ROUND(SUM(G63:G104),1)</f>
        <v>1744.1</v>
      </c>
      <c r="H105" s="1445"/>
      <c r="I105" s="2021">
        <f>ROUND(SUM(I63:I104),1)</f>
        <v>1590.4</v>
      </c>
      <c r="J105" s="1445"/>
      <c r="K105" s="2021">
        <f>ROUND(SUM(K63:K104),1)</f>
        <v>1648.8</v>
      </c>
      <c r="L105" s="1445"/>
      <c r="M105" s="2021">
        <f>ROUND(SUM(M63:M104),1)</f>
        <v>2173.1</v>
      </c>
      <c r="N105" s="1445"/>
      <c r="O105" s="1444">
        <f>ROUND(SUM(O63:O104),1)</f>
        <v>1693.6</v>
      </c>
      <c r="P105" s="1445"/>
      <c r="Q105" s="2021">
        <f>ROUND(SUM(Q63:Q104),1)</f>
        <v>1913.8</v>
      </c>
      <c r="R105" s="1445"/>
      <c r="S105" s="2021">
        <f>ROUND(SUM(S63:S104),1)</f>
        <v>2063.5</v>
      </c>
      <c r="T105" s="1445"/>
      <c r="U105" s="2021">
        <f>ROUND(SUM(U63:U104),1)</f>
        <v>1850.5</v>
      </c>
      <c r="V105" s="1445"/>
      <c r="W105" s="2021">
        <f>ROUND(SUM(W63:W104),1)</f>
        <v>0</v>
      </c>
      <c r="X105" s="1989"/>
      <c r="Y105" s="2021">
        <f>ROUND(SUM(Y63:Y104),1)</f>
        <v>0</v>
      </c>
      <c r="Z105" s="1989"/>
      <c r="AA105" s="2024"/>
      <c r="AB105" s="1444">
        <f>ROUND(SUM(AB63:AB104),1)</f>
        <v>17645.5</v>
      </c>
      <c r="AC105" s="2029"/>
      <c r="AD105" s="2508"/>
      <c r="AE105" s="1444">
        <f>ROUND(SUM(AE63:AE104),1)</f>
        <v>20735.3</v>
      </c>
      <c r="AF105" s="1446"/>
      <c r="AG105" s="3299"/>
      <c r="AH105" s="1444">
        <f>ROUND(SUM(AH63:AH104),1)</f>
        <v>-3089.8</v>
      </c>
      <c r="AI105" s="1446"/>
      <c r="AJ105" s="1799">
        <f>ROUND(SUM(+AH105/ABS(AE105)),3)</f>
        <v>-0.14899999999999999</v>
      </c>
    </row>
    <row r="106" spans="1:45" ht="15">
      <c r="A106" s="1424"/>
      <c r="B106" s="1424"/>
      <c r="C106" s="1423"/>
      <c r="D106" s="1423"/>
      <c r="E106" s="1423"/>
      <c r="F106" s="1423"/>
      <c r="G106" s="1423"/>
      <c r="H106" s="1423"/>
      <c r="I106" s="1423"/>
      <c r="J106" s="1423"/>
      <c r="K106" s="1423"/>
      <c r="L106" s="1423"/>
      <c r="M106" s="1423"/>
      <c r="N106" s="1423"/>
      <c r="O106" s="3083"/>
      <c r="P106" s="1423"/>
      <c r="Q106" s="1423"/>
      <c r="R106" s="1423"/>
      <c r="S106" s="1423"/>
      <c r="T106" s="1423"/>
      <c r="U106" s="1423"/>
      <c r="V106" s="1423"/>
      <c r="W106" s="1423"/>
      <c r="X106" s="1423"/>
      <c r="Y106" s="1423"/>
      <c r="Z106" s="1423"/>
      <c r="AA106" s="2724"/>
      <c r="AB106" s="3083"/>
      <c r="AC106" s="3085"/>
      <c r="AD106" s="3336"/>
      <c r="AE106" s="3083"/>
      <c r="AF106" s="3085"/>
      <c r="AG106" s="3085"/>
      <c r="AH106" s="3083"/>
      <c r="AI106" s="3042"/>
      <c r="AJ106" s="1797"/>
    </row>
    <row r="107" spans="1:45" ht="15">
      <c r="A107" s="1424" t="s">
        <v>20</v>
      </c>
      <c r="B107" s="1424"/>
      <c r="C107" s="2726">
        <f>+'Exhibit F'!D95+'Exhibit G State'!D83+'Exhibit H'!B52</f>
        <v>0.2</v>
      </c>
      <c r="D107" s="1423"/>
      <c r="E107" s="2726">
        <f>+'Exhibit F'!F95+'Exhibit G State'!F83+'Exhibit H'!D52</f>
        <v>0</v>
      </c>
      <c r="F107" s="1423"/>
      <c r="G107" s="2726">
        <f>+'Exhibit F'!H95+'Exhibit G State'!H83+'Exhibit H'!F52</f>
        <v>0</v>
      </c>
      <c r="H107" s="1423"/>
      <c r="I107" s="2726">
        <f>+'Exhibit F'!J95+'Exhibit G State'!J83+'Exhibit H'!H52</f>
        <v>1.6</v>
      </c>
      <c r="J107" s="1423"/>
      <c r="K107" s="2726">
        <f>+'Exhibit F'!L95+'Exhibit G State'!L83+'Exhibit H'!J52</f>
        <v>28.8</v>
      </c>
      <c r="L107" s="1423"/>
      <c r="M107" s="2726">
        <f>+'Exhibit F'!N95+'Exhibit G State'!N83+'Exhibit H'!L52</f>
        <v>-0.30000000000000004</v>
      </c>
      <c r="N107" s="1423"/>
      <c r="O107" s="2726">
        <f>+'Exhibit F'!P95+'Exhibit G State'!P83+'Exhibit H'!N52</f>
        <v>34.4</v>
      </c>
      <c r="P107" s="1423"/>
      <c r="Q107" s="2726">
        <f>+'Exhibit F'!R95+'Exhibit G State'!R83+'Exhibit H'!P52</f>
        <v>0</v>
      </c>
      <c r="R107" s="1423"/>
      <c r="S107" s="2726">
        <f>+'Exhibit F'!T95+'Exhibit G State'!T83+'Exhibit H'!R52</f>
        <v>10.5</v>
      </c>
      <c r="T107" s="1423"/>
      <c r="U107" s="2726">
        <f>+'Exhibit F'!V95+'Exhibit G State'!V83+'Exhibit H'!T52</f>
        <v>-12.899999999999995</v>
      </c>
      <c r="V107" s="1423"/>
      <c r="W107" s="2726"/>
      <c r="X107" s="1423"/>
      <c r="Y107" s="2726"/>
      <c r="Z107" s="1423"/>
      <c r="AA107" s="2725"/>
      <c r="AB107" s="3086">
        <f>ROUND(SUM(C107:Y107),1)</f>
        <v>62.3</v>
      </c>
      <c r="AC107" s="3083"/>
      <c r="AD107" s="3334"/>
      <c r="AE107" s="3086">
        <f>'Exhibit F'!AF95+'Exhibit G State'!AG83+'Exhibit H'!AD52</f>
        <v>44.3</v>
      </c>
      <c r="AF107" s="3085"/>
      <c r="AG107" s="3085"/>
      <c r="AH107" s="3086">
        <f>ROUND(SUM(AB107-AE107),1)</f>
        <v>18</v>
      </c>
      <c r="AI107" s="3042"/>
      <c r="AJ107" s="3300">
        <f>ROUND(IF(AE107=0,1,AH107/ABS(AE107)),3)</f>
        <v>0.40600000000000003</v>
      </c>
    </row>
    <row r="108" spans="1:45" ht="15">
      <c r="A108" s="1424"/>
      <c r="B108" s="1424"/>
      <c r="C108" s="1423"/>
      <c r="D108" s="1423"/>
      <c r="E108" s="1423"/>
      <c r="F108" s="1423"/>
      <c r="G108" s="1423"/>
      <c r="H108" s="1423"/>
      <c r="I108" s="1423"/>
      <c r="J108" s="1423"/>
      <c r="K108" s="1423"/>
      <c r="L108" s="1423"/>
      <c r="M108" s="1423"/>
      <c r="N108" s="1423"/>
      <c r="O108" s="3083"/>
      <c r="P108" s="1423"/>
      <c r="Q108" s="1423"/>
      <c r="R108" s="1423"/>
      <c r="S108" s="1423"/>
      <c r="T108" s="1423"/>
      <c r="U108" s="1423"/>
      <c r="V108" s="1423"/>
      <c r="W108" s="1423"/>
      <c r="X108" s="1423"/>
      <c r="Y108" s="1423"/>
      <c r="Z108" s="1423"/>
      <c r="AA108" s="2725"/>
      <c r="AB108" s="3083"/>
      <c r="AC108" s="3083"/>
      <c r="AD108" s="3334"/>
      <c r="AE108" s="3083"/>
      <c r="AF108" s="3085"/>
      <c r="AG108" s="3085"/>
      <c r="AH108" s="3083"/>
      <c r="AI108" s="3042"/>
      <c r="AJ108" s="3301"/>
    </row>
    <row r="109" spans="1:45" ht="15.6">
      <c r="A109" s="2382" t="s">
        <v>149</v>
      </c>
      <c r="B109" s="2001"/>
      <c r="C109" s="1999">
        <f>ROUND(SUM(C107+C105+C59),1)</f>
        <v>10642.3</v>
      </c>
      <c r="D109" s="1445"/>
      <c r="E109" s="1999">
        <f>ROUND(SUM(E107+E105+E59),1)</f>
        <v>13047.8</v>
      </c>
      <c r="F109" s="1445"/>
      <c r="G109" s="1999">
        <f>ROUND(SUM(G107+G105+G59),1)</f>
        <v>11594.6</v>
      </c>
      <c r="H109" s="1445"/>
      <c r="I109" s="1999">
        <f>ROUND(SUM(I107+I105+I59),1)</f>
        <v>7037</v>
      </c>
      <c r="J109" s="1445"/>
      <c r="K109" s="1999">
        <f>ROUND(SUM(K107+K105+K59),1)</f>
        <v>7301.3</v>
      </c>
      <c r="L109" s="1445"/>
      <c r="M109" s="1999">
        <f>ROUND(SUM(M107+M105+M59),1)</f>
        <v>12808.2</v>
      </c>
      <c r="N109" s="1445"/>
      <c r="O109" s="1540">
        <f>ROUND(SUM(O107+O105+O59),1)</f>
        <v>7055.4</v>
      </c>
      <c r="P109" s="1445"/>
      <c r="Q109" s="1999">
        <f>ROUND(SUM(Q107+Q105+Q59),1)</f>
        <v>7230.1</v>
      </c>
      <c r="R109" s="1445"/>
      <c r="S109" s="1999">
        <f>ROUND(SUM(S107+S105+S59),1)</f>
        <v>22548.6</v>
      </c>
      <c r="T109" s="1445"/>
      <c r="U109" s="1999">
        <f>ROUND(SUM(U107+U105+U59),1)</f>
        <v>15345.2</v>
      </c>
      <c r="V109" s="1445"/>
      <c r="W109" s="1999">
        <f>ROUND(SUM(W107+W105+W59),1)</f>
        <v>0</v>
      </c>
      <c r="X109" s="1989"/>
      <c r="Y109" s="1999">
        <f>ROUND(SUM(Y107+Y105+Y59),1)</f>
        <v>0</v>
      </c>
      <c r="Z109" s="2727"/>
      <c r="AA109" s="2391"/>
      <c r="AB109" s="1540">
        <f>ROUND(SUM(AB107+AB105+AB59),1)</f>
        <v>114610.5</v>
      </c>
      <c r="AC109" s="2029"/>
      <c r="AD109" s="2508"/>
      <c r="AE109" s="1540">
        <f>ROUND(SUM(AE107+AE105+AE59),1)</f>
        <v>87816.6</v>
      </c>
      <c r="AF109" s="1446"/>
      <c r="AG109" s="3299"/>
      <c r="AH109" s="1540">
        <f>ROUND(SUM(AH107+AH105+AH59),1)</f>
        <v>26793.9</v>
      </c>
      <c r="AI109" s="1446"/>
      <c r="AJ109" s="3298">
        <f>ROUND(SUM(+AH109/ABS(AE109)),3)</f>
        <v>0.30499999999999999</v>
      </c>
      <c r="AK109" s="2719"/>
      <c r="AL109" s="2719"/>
      <c r="AM109" s="2719"/>
      <c r="AN109" s="2719"/>
      <c r="AO109" s="2719"/>
      <c r="AP109" s="2719"/>
      <c r="AQ109" s="2719"/>
      <c r="AR109" s="2719"/>
      <c r="AS109" s="2719"/>
    </row>
    <row r="110" spans="1:45" ht="15.6">
      <c r="A110" s="1989"/>
      <c r="B110" s="1424"/>
      <c r="C110" s="2728"/>
      <c r="D110" s="1423"/>
      <c r="E110" s="2728"/>
      <c r="F110" s="1423"/>
      <c r="G110" s="2728"/>
      <c r="H110" s="1423"/>
      <c r="I110" s="2728"/>
      <c r="J110" s="1423"/>
      <c r="K110" s="2728"/>
      <c r="L110" s="1423"/>
      <c r="M110" s="2728"/>
      <c r="N110" s="1423"/>
      <c r="O110" s="2514"/>
      <c r="P110" s="1423"/>
      <c r="Q110" s="2728"/>
      <c r="R110" s="1423"/>
      <c r="S110" s="2728"/>
      <c r="T110" s="1423"/>
      <c r="U110" s="2728"/>
      <c r="V110" s="1423"/>
      <c r="W110" s="2728"/>
      <c r="X110" s="1423"/>
      <c r="Y110" s="2728"/>
      <c r="Z110" s="1423"/>
      <c r="AA110" s="2725"/>
      <c r="AB110" s="2514"/>
      <c r="AC110" s="3083"/>
      <c r="AD110" s="3334"/>
      <c r="AE110" s="2514"/>
      <c r="AF110" s="3085"/>
      <c r="AG110" s="3085"/>
      <c r="AH110" s="1979"/>
      <c r="AI110" s="3042"/>
      <c r="AJ110" s="3296"/>
    </row>
    <row r="111" spans="1:45" ht="15.6">
      <c r="A111" s="1989" t="s">
        <v>22</v>
      </c>
      <c r="B111" s="1424"/>
      <c r="C111" s="2723"/>
      <c r="D111" s="1423"/>
      <c r="E111" s="2723"/>
      <c r="F111" s="1423"/>
      <c r="G111" s="2723"/>
      <c r="H111" s="1423"/>
      <c r="I111" s="2723"/>
      <c r="J111" s="1423"/>
      <c r="K111" s="2723"/>
      <c r="L111" s="1423"/>
      <c r="M111" s="2723"/>
      <c r="N111" s="1423"/>
      <c r="O111" s="3085"/>
      <c r="P111" s="1423"/>
      <c r="Q111" s="2723"/>
      <c r="R111" s="1423"/>
      <c r="S111" s="2723"/>
      <c r="T111" s="1423"/>
      <c r="U111" s="2723"/>
      <c r="V111" s="1423"/>
      <c r="W111" s="2723"/>
      <c r="X111" s="1423"/>
      <c r="Y111" s="2723"/>
      <c r="Z111" s="1423"/>
      <c r="AA111" s="2725"/>
      <c r="AB111" s="3085"/>
      <c r="AC111" s="3083"/>
      <c r="AD111" s="3334"/>
      <c r="AE111" s="3085"/>
      <c r="AF111" s="3085"/>
      <c r="AG111" s="3085"/>
      <c r="AH111" s="1979"/>
      <c r="AI111" s="3042"/>
      <c r="AJ111" s="3296"/>
    </row>
    <row r="112" spans="1:45" ht="15">
      <c r="A112" s="1424" t="s">
        <v>136</v>
      </c>
      <c r="B112" s="1424"/>
      <c r="C112" s="1423"/>
      <c r="D112" s="1423"/>
      <c r="E112" s="1423"/>
      <c r="F112" s="1423"/>
      <c r="G112" s="1423"/>
      <c r="H112" s="1423"/>
      <c r="I112" s="1423"/>
      <c r="J112" s="1423"/>
      <c r="K112" s="1423"/>
      <c r="L112" s="1423"/>
      <c r="M112" s="1423"/>
      <c r="N112" s="1423"/>
      <c r="O112" s="3083"/>
      <c r="P112" s="1423"/>
      <c r="Q112" s="1423"/>
      <c r="R112" s="1423"/>
      <c r="S112" s="1423"/>
      <c r="T112" s="1423"/>
      <c r="U112" s="1423"/>
      <c r="V112" s="1423"/>
      <c r="W112" s="1423"/>
      <c r="X112" s="1423"/>
      <c r="Y112" s="1423"/>
      <c r="Z112" s="1423"/>
      <c r="AA112" s="2725"/>
      <c r="AB112" s="3083"/>
      <c r="AC112" s="3083"/>
      <c r="AD112" s="3334"/>
      <c r="AE112" s="1979"/>
      <c r="AF112" s="3085"/>
      <c r="AG112" s="3085"/>
      <c r="AH112" s="3083"/>
      <c r="AI112" s="3042"/>
      <c r="AJ112" s="1797"/>
    </row>
    <row r="113" spans="1:38" ht="15">
      <c r="A113" s="2729" t="s">
        <v>24</v>
      </c>
      <c r="B113" s="1424"/>
      <c r="C113" s="1423">
        <f>+'Exhibit F'!D101+'Exhibit G State'!D89</f>
        <v>524.29999999999995</v>
      </c>
      <c r="D113" s="1423"/>
      <c r="E113" s="1423">
        <f>+'Exhibit F'!F101+'Exhibit G State'!F89</f>
        <v>3896.3</v>
      </c>
      <c r="F113" s="1423"/>
      <c r="G113" s="1423">
        <f>+'Exhibit F'!H101+'Exhibit G State'!H89</f>
        <v>3163.2999999999997</v>
      </c>
      <c r="H113" s="1423"/>
      <c r="I113" s="1423">
        <f>+'Exhibit F'!J101+'Exhibit G State'!J89</f>
        <v>1505.4999999999995</v>
      </c>
      <c r="J113" s="1423"/>
      <c r="K113" s="1423">
        <f>+'Exhibit F'!L101+'Exhibit G State'!L89</f>
        <v>723.49999999999932</v>
      </c>
      <c r="L113" s="1423"/>
      <c r="M113" s="1423">
        <f>+'Exhibit F'!N101+'Exhibit G State'!N89</f>
        <v>4010.2000000000012</v>
      </c>
      <c r="N113" s="1423"/>
      <c r="O113" s="1423">
        <f>+'Exhibit F'!P101+'Exhibit G State'!P89</f>
        <v>1556.099999999999</v>
      </c>
      <c r="P113" s="1423"/>
      <c r="Q113" s="1423">
        <f>+'Exhibit F'!R101+'Exhibit G State'!R89</f>
        <v>1778.7999999999993</v>
      </c>
      <c r="R113" s="1423"/>
      <c r="S113" s="1423">
        <f>+'Exhibit F'!T101+'Exhibit G State'!T89</f>
        <v>2961.6999999999989</v>
      </c>
      <c r="T113" s="1423"/>
      <c r="U113" s="1423">
        <f>+'Exhibit F'!V101+'Exhibit G State'!V89</f>
        <v>3096.8000000000011</v>
      </c>
      <c r="V113" s="1423"/>
      <c r="W113" s="1423"/>
      <c r="X113" s="1423"/>
      <c r="Y113" s="1423"/>
      <c r="Z113" s="1423"/>
      <c r="AA113" s="2725"/>
      <c r="AB113" s="1979">
        <f>ROUND(SUM(C113:Y113),1)</f>
        <v>23216.5</v>
      </c>
      <c r="AC113" s="3083"/>
      <c r="AD113" s="3334"/>
      <c r="AE113" s="1979">
        <f>+'Exhibit F'!AF101+'Exhibit G State'!AG89</f>
        <v>21461.9</v>
      </c>
      <c r="AF113" s="3085"/>
      <c r="AG113" s="3085"/>
      <c r="AH113" s="3083">
        <f>ROUND(SUM(AB113-AE113),1)</f>
        <v>1754.6</v>
      </c>
      <c r="AI113" s="3042"/>
      <c r="AJ113" s="1797">
        <f>ROUND(SUM(AH113/ABS(AE113)),3)</f>
        <v>8.2000000000000003E-2</v>
      </c>
    </row>
    <row r="114" spans="1:38" ht="15">
      <c r="A114" s="2729" t="s">
        <v>25</v>
      </c>
      <c r="B114" s="1424"/>
      <c r="C114" s="1423">
        <f>+'Exhibit F'!D102+'Exhibit G State'!D90</f>
        <v>0.1</v>
      </c>
      <c r="D114" s="1423"/>
      <c r="E114" s="1423">
        <f>+'Exhibit F'!F102+'Exhibit G State'!F90</f>
        <v>1.9</v>
      </c>
      <c r="F114" s="1423"/>
      <c r="G114" s="1423">
        <f>+'Exhibit F'!H102+'Exhibit G State'!H90</f>
        <v>4.0999999999999996</v>
      </c>
      <c r="H114" s="1423"/>
      <c r="I114" s="1423">
        <f>+'Exhibit F'!J102+'Exhibit G State'!J90</f>
        <v>0.59999999999999964</v>
      </c>
      <c r="J114" s="1423"/>
      <c r="K114" s="1423">
        <f>+'Exhibit F'!L102+'Exhibit G State'!L90</f>
        <v>0.80000000000000049</v>
      </c>
      <c r="L114" s="1423"/>
      <c r="M114" s="1423">
        <f>+'Exhibit F'!N102+'Exhibit G State'!N90</f>
        <v>0.19999999999999996</v>
      </c>
      <c r="N114" s="1423"/>
      <c r="O114" s="1423">
        <f>+'Exhibit F'!P102+'Exhibit G State'!P90</f>
        <v>9.9999999999999645E-2</v>
      </c>
      <c r="P114" s="1423"/>
      <c r="Q114" s="1423">
        <f>+'Exhibit F'!R102+'Exhibit G State'!R90</f>
        <v>0.49999999999999978</v>
      </c>
      <c r="R114" s="1423"/>
      <c r="S114" s="1423">
        <f>+'Exhibit F'!T102+'Exhibit G State'!T90</f>
        <v>0.49999999999999978</v>
      </c>
      <c r="T114" s="1423"/>
      <c r="U114" s="1423">
        <f>+'Exhibit F'!V102+'Exhibit G State'!V90</f>
        <v>1.0000000000000004</v>
      </c>
      <c r="V114" s="1423"/>
      <c r="W114" s="1423"/>
      <c r="X114" s="1423"/>
      <c r="Y114" s="1423"/>
      <c r="Z114" s="1423"/>
      <c r="AA114" s="2725"/>
      <c r="AB114" s="1979">
        <f t="shared" ref="AB114:AB121" si="21">ROUND(SUM(C114:Y114),1)</f>
        <v>9.8000000000000007</v>
      </c>
      <c r="AC114" s="3083"/>
      <c r="AD114" s="3334"/>
      <c r="AE114" s="1979">
        <f>+'Exhibit F'!AF102+'Exhibit G State'!AG90</f>
        <v>2.2999999999999998</v>
      </c>
      <c r="AF114" s="3085"/>
      <c r="AG114" s="3085"/>
      <c r="AH114" s="3083">
        <f t="shared" ref="AH114:AH121" si="22">ROUND(SUM(AB114-AE114),1)</f>
        <v>7.5</v>
      </c>
      <c r="AI114" s="3042"/>
      <c r="AJ114" s="1808">
        <f>ROUND(IF(AE114=0,1,AH114/ABS(AE114)),3)</f>
        <v>3.2610000000000001</v>
      </c>
    </row>
    <row r="115" spans="1:38" ht="15">
      <c r="A115" s="2729" t="s">
        <v>26</v>
      </c>
      <c r="B115" s="1424"/>
      <c r="C115" s="1423">
        <f>+'Exhibit F'!D103+'Exhibit G State'!D91</f>
        <v>13</v>
      </c>
      <c r="D115" s="1423"/>
      <c r="E115" s="1423">
        <f>+'Exhibit F'!F103+'Exhibit G State'!F91</f>
        <v>66.599999999999994</v>
      </c>
      <c r="F115" s="1423"/>
      <c r="G115" s="1423">
        <f>+'Exhibit F'!H103+'Exhibit G State'!H91</f>
        <v>456.5</v>
      </c>
      <c r="H115" s="1423"/>
      <c r="I115" s="1423">
        <f>+'Exhibit F'!J103+'Exhibit G State'!J91</f>
        <v>-20.299999999999997</v>
      </c>
      <c r="J115" s="1423"/>
      <c r="K115" s="1423">
        <f>+'Exhibit F'!L103+'Exhibit G State'!L91</f>
        <v>59.29999999999999</v>
      </c>
      <c r="L115" s="1423"/>
      <c r="M115" s="1423">
        <f>+'Exhibit F'!N103+'Exhibit G State'!N91</f>
        <v>119.30000000000004</v>
      </c>
      <c r="N115" s="1423"/>
      <c r="O115" s="1423">
        <f>+'Exhibit F'!P103+'Exhibit G State'!P91</f>
        <v>36.400000000000006</v>
      </c>
      <c r="P115" s="1423"/>
      <c r="Q115" s="1423">
        <f>+'Exhibit F'!R103+'Exhibit G State'!R91</f>
        <v>56.40000000000007</v>
      </c>
      <c r="R115" s="1423"/>
      <c r="S115" s="1423">
        <f>+'Exhibit F'!T103+'Exhibit G State'!T91</f>
        <v>264.5999999999998</v>
      </c>
      <c r="T115" s="1423"/>
      <c r="U115" s="1423">
        <f>+'Exhibit F'!V103+'Exhibit G State'!V91</f>
        <v>38.900000000000084</v>
      </c>
      <c r="V115" s="1423"/>
      <c r="W115" s="1423"/>
      <c r="X115" s="1423"/>
      <c r="Y115" s="1423"/>
      <c r="Z115" s="1423"/>
      <c r="AA115" s="2725"/>
      <c r="AB115" s="1979">
        <f t="shared" si="21"/>
        <v>1090.7</v>
      </c>
      <c r="AC115" s="3083"/>
      <c r="AD115" s="3334"/>
      <c r="AE115" s="1979">
        <f>+'Exhibit F'!AF103+'Exhibit G State'!AG91</f>
        <v>949.1</v>
      </c>
      <c r="AF115" s="3085"/>
      <c r="AG115" s="3085"/>
      <c r="AH115" s="3083">
        <f t="shared" si="22"/>
        <v>141.6</v>
      </c>
      <c r="AI115" s="3042"/>
      <c r="AJ115" s="1797">
        <f>ROUND(SUM(AH115/ABS(AE115)),3)</f>
        <v>0.14899999999999999</v>
      </c>
    </row>
    <row r="116" spans="1:38" ht="15">
      <c r="A116" s="2729" t="s">
        <v>27</v>
      </c>
      <c r="B116" s="1424"/>
      <c r="C116" s="1423"/>
      <c r="D116" s="1423"/>
      <c r="E116" s="1423"/>
      <c r="F116" s="1423"/>
      <c r="G116" s="1423"/>
      <c r="H116" s="1423"/>
      <c r="I116" s="1423"/>
      <c r="J116" s="1423"/>
      <c r="K116" s="1423"/>
      <c r="L116" s="1423"/>
      <c r="M116" s="1423"/>
      <c r="N116" s="1423"/>
      <c r="O116" s="1423"/>
      <c r="P116" s="1423"/>
      <c r="Q116" s="1423"/>
      <c r="R116" s="1423"/>
      <c r="S116" s="1423"/>
      <c r="T116" s="1423"/>
      <c r="U116" s="1423"/>
      <c r="V116" s="1423"/>
      <c r="W116" s="1423"/>
      <c r="X116" s="1423"/>
      <c r="Y116" s="1423"/>
      <c r="Z116" s="1423"/>
      <c r="AA116" s="2725"/>
      <c r="AB116" s="1979"/>
      <c r="AC116" s="3083"/>
      <c r="AD116" s="3334"/>
      <c r="AE116" s="2563"/>
      <c r="AF116" s="3085"/>
      <c r="AG116" s="3085"/>
      <c r="AH116" s="3083" t="s">
        <v>14</v>
      </c>
      <c r="AI116" s="3042"/>
      <c r="AJ116" s="1797"/>
    </row>
    <row r="117" spans="1:38" ht="15">
      <c r="A117" s="2730" t="s">
        <v>28</v>
      </c>
      <c r="B117" s="1424"/>
      <c r="C117" s="1423">
        <f>+'Exhibit F'!D105+'Exhibit G State'!D93</f>
        <v>3127.9</v>
      </c>
      <c r="D117" s="1423"/>
      <c r="E117" s="1423">
        <f>+'Exhibit F'!F105+'Exhibit G State'!F93</f>
        <v>1954.6</v>
      </c>
      <c r="F117" s="1423"/>
      <c r="G117" s="1423">
        <f>+'Exhibit F'!H105+'Exhibit G State'!H93</f>
        <v>2221.1</v>
      </c>
      <c r="H117" s="1423"/>
      <c r="I117" s="1423">
        <f>+'Exhibit F'!J105+'Exhibit G State'!J93</f>
        <v>1436.7999999999997</v>
      </c>
      <c r="J117" s="1423"/>
      <c r="K117" s="1423">
        <f>+'Exhibit F'!L105+'Exhibit G State'!L93</f>
        <v>1895.5000000000009</v>
      </c>
      <c r="L117" s="1423"/>
      <c r="M117" s="1423">
        <f>+'Exhibit F'!N105+'Exhibit G State'!N93</f>
        <v>1794.8000000000002</v>
      </c>
      <c r="N117" s="1423"/>
      <c r="O117" s="1423">
        <f>+'Exhibit F'!P105+'Exhibit G State'!P93</f>
        <v>2278.0999999999985</v>
      </c>
      <c r="P117" s="1423"/>
      <c r="Q117" s="1423">
        <f>+'Exhibit F'!R105+'Exhibit G State'!R93</f>
        <v>2194.2000000000021</v>
      </c>
      <c r="R117" s="1423"/>
      <c r="S117" s="1423">
        <f>+'Exhibit F'!T105+'Exhibit G State'!T93</f>
        <v>2192.2999999999961</v>
      </c>
      <c r="T117" s="1423"/>
      <c r="U117" s="1423">
        <f>+'Exhibit F'!V105+'Exhibit G State'!V93</f>
        <v>1729.9000000000019</v>
      </c>
      <c r="V117" s="1423"/>
      <c r="W117" s="1423"/>
      <c r="X117" s="1423"/>
      <c r="Y117" s="1423"/>
      <c r="Z117" s="1423"/>
      <c r="AA117" s="2725"/>
      <c r="AB117" s="1979">
        <f t="shared" si="21"/>
        <v>20825.2</v>
      </c>
      <c r="AC117" s="3083"/>
      <c r="AD117" s="3334"/>
      <c r="AE117" s="1979">
        <f>+'Exhibit F'!AF105+'Exhibit G State'!AG93</f>
        <v>17560.8</v>
      </c>
      <c r="AF117" s="3085"/>
      <c r="AG117" s="3085"/>
      <c r="AH117" s="3083">
        <f t="shared" si="22"/>
        <v>3264.4</v>
      </c>
      <c r="AI117" s="3042"/>
      <c r="AJ117" s="1797">
        <f t="shared" ref="AJ117:AJ123" si="23">ROUND(SUM(AH117/ABS(AE117)),3)</f>
        <v>0.186</v>
      </c>
      <c r="AK117" s="2731"/>
    </row>
    <row r="118" spans="1:38" ht="15">
      <c r="A118" s="2729" t="s">
        <v>29</v>
      </c>
      <c r="B118" s="1424"/>
      <c r="C118" s="1423">
        <f>+'Exhibit F'!D106+'Exhibit G State'!D94</f>
        <v>85.199999999999989</v>
      </c>
      <c r="D118" s="1423"/>
      <c r="E118" s="1423">
        <f>+'Exhibit F'!F106+'Exhibit G State'!F94</f>
        <v>149.30000000000001</v>
      </c>
      <c r="F118" s="1423"/>
      <c r="G118" s="1423">
        <f>+'Exhibit F'!H106+'Exhibit G State'!H94</f>
        <v>587.80000000000007</v>
      </c>
      <c r="H118" s="1423"/>
      <c r="I118" s="1423">
        <f>+'Exhibit F'!J106+'Exhibit G State'!J94</f>
        <v>212.19999999999987</v>
      </c>
      <c r="J118" s="1423"/>
      <c r="K118" s="1423">
        <f>+'Exhibit F'!L106+'Exhibit G State'!L94</f>
        <v>244.3</v>
      </c>
      <c r="L118" s="1423"/>
      <c r="M118" s="1423">
        <f>+'Exhibit F'!N106+'Exhibit G State'!N94</f>
        <v>435.49999999999994</v>
      </c>
      <c r="N118" s="1423"/>
      <c r="O118" s="1423">
        <f>+'Exhibit F'!P106+'Exhibit G State'!P94</f>
        <v>262.10000000000042</v>
      </c>
      <c r="P118" s="1423"/>
      <c r="Q118" s="1423">
        <f>+'Exhibit F'!R106+'Exhibit G State'!R94</f>
        <v>230.89999999999975</v>
      </c>
      <c r="R118" s="1423"/>
      <c r="S118" s="1423">
        <f>+'Exhibit F'!T106+'Exhibit G State'!T94</f>
        <v>541.5</v>
      </c>
      <c r="T118" s="1423"/>
      <c r="U118" s="1423">
        <f>+'Exhibit F'!V106+'Exhibit G State'!V94</f>
        <v>150.19999999999993</v>
      </c>
      <c r="V118" s="1423"/>
      <c r="W118" s="1423"/>
      <c r="X118" s="1423"/>
      <c r="Y118" s="1423"/>
      <c r="Z118" s="1423"/>
      <c r="AA118" s="2725"/>
      <c r="AB118" s="1979">
        <f t="shared" si="21"/>
        <v>2899</v>
      </c>
      <c r="AC118" s="3337"/>
      <c r="AD118" s="3083"/>
      <c r="AE118" s="1979">
        <f>+'Exhibit F'!AF106+'Exhibit G State'!AG94</f>
        <v>2603</v>
      </c>
      <c r="AF118" s="3085"/>
      <c r="AG118" s="3085"/>
      <c r="AH118" s="3083">
        <f t="shared" si="22"/>
        <v>296</v>
      </c>
      <c r="AI118" s="3042"/>
      <c r="AJ118" s="1797">
        <f t="shared" si="23"/>
        <v>0.114</v>
      </c>
    </row>
    <row r="119" spans="1:38" ht="15">
      <c r="A119" s="2729" t="s">
        <v>30</v>
      </c>
      <c r="B119" s="1424"/>
      <c r="C119" s="1423">
        <f>+'Exhibit F'!D107+'Exhibit G State'!D95</f>
        <v>23.8</v>
      </c>
      <c r="D119" s="1423"/>
      <c r="E119" s="1423">
        <f>+'Exhibit F'!F107+'Exhibit G State'!F95</f>
        <v>49.599999999999994</v>
      </c>
      <c r="F119" s="1423"/>
      <c r="G119" s="1423">
        <f>+'Exhibit F'!H107+'Exhibit G State'!H95</f>
        <v>39.400000000000006</v>
      </c>
      <c r="H119" s="1423"/>
      <c r="I119" s="1423">
        <f>+'Exhibit F'!J107+'Exhibit G State'!J95</f>
        <v>17.999999999999996</v>
      </c>
      <c r="J119" s="1423"/>
      <c r="K119" s="1423">
        <f>+'Exhibit F'!L107+'Exhibit G State'!L95</f>
        <v>33.400000000000006</v>
      </c>
      <c r="L119" s="1423"/>
      <c r="M119" s="1423">
        <f>+'Exhibit F'!N107+'Exhibit G State'!N95</f>
        <v>40.599999999999994</v>
      </c>
      <c r="N119" s="1423"/>
      <c r="O119" s="1423">
        <f>+'Exhibit F'!P107+'Exhibit G State'!P95</f>
        <v>58.900000000000006</v>
      </c>
      <c r="P119" s="1423"/>
      <c r="Q119" s="1423">
        <f>+'Exhibit F'!R107+'Exhibit G State'!R95</f>
        <v>44.7</v>
      </c>
      <c r="R119" s="1423"/>
      <c r="S119" s="1423">
        <f>+'Exhibit F'!T107+'Exhibit G State'!T95</f>
        <v>30.09999999999998</v>
      </c>
      <c r="T119" s="1423"/>
      <c r="U119" s="1423">
        <f>+'Exhibit F'!V107+'Exhibit G State'!V95</f>
        <v>54.9</v>
      </c>
      <c r="V119" s="1423"/>
      <c r="W119" s="1423"/>
      <c r="X119" s="1423"/>
      <c r="Y119" s="1423"/>
      <c r="Z119" s="1423"/>
      <c r="AA119" s="2725"/>
      <c r="AB119" s="1979">
        <f t="shared" si="21"/>
        <v>393.4</v>
      </c>
      <c r="AC119" s="3338"/>
      <c r="AD119" s="3334"/>
      <c r="AE119" s="1979">
        <f>+'Exhibit F'!AF107+'Exhibit G State'!AG95</f>
        <v>210.9</v>
      </c>
      <c r="AF119" s="3085"/>
      <c r="AG119" s="3085"/>
      <c r="AH119" s="3083">
        <f t="shared" si="22"/>
        <v>182.5</v>
      </c>
      <c r="AI119" s="3042"/>
      <c r="AJ119" s="1797">
        <f t="shared" si="23"/>
        <v>0.86499999999999999</v>
      </c>
    </row>
    <row r="120" spans="1:38" ht="15">
      <c r="A120" s="2729" t="s">
        <v>31</v>
      </c>
      <c r="B120" s="1424"/>
      <c r="C120" s="1423">
        <f>+'Exhibit F'!D108+'Exhibit G State'!D96</f>
        <v>43.5</v>
      </c>
      <c r="D120" s="1423"/>
      <c r="E120" s="1423">
        <f>+'Exhibit F'!F108+'Exhibit G State'!F96</f>
        <v>100.5</v>
      </c>
      <c r="F120" s="1423"/>
      <c r="G120" s="1423">
        <f>+'Exhibit F'!H108+'Exhibit G State'!H96</f>
        <v>284.29999999999995</v>
      </c>
      <c r="H120" s="1423"/>
      <c r="I120" s="1423">
        <f>+'Exhibit F'!J108+'Exhibit G State'!J96</f>
        <v>318.80000000000018</v>
      </c>
      <c r="J120" s="1423"/>
      <c r="K120" s="1423">
        <f>+'Exhibit F'!L108+'Exhibit G State'!L96</f>
        <v>343.39999999999981</v>
      </c>
      <c r="L120" s="1423"/>
      <c r="M120" s="1423">
        <f>+'Exhibit F'!N108+'Exhibit G State'!N96</f>
        <v>943.40000000000009</v>
      </c>
      <c r="N120" s="1423"/>
      <c r="O120" s="1423">
        <f>+'Exhibit F'!P108+'Exhibit G State'!P96</f>
        <v>1514.1999999999994</v>
      </c>
      <c r="P120" s="1423"/>
      <c r="Q120" s="1423">
        <f>+'Exhibit F'!R108+'Exhibit G State'!R96</f>
        <v>111.4000000000005</v>
      </c>
      <c r="R120" s="1423"/>
      <c r="S120" s="1423">
        <f>+'Exhibit F'!T108+'Exhibit G State'!T96</f>
        <v>463.9999999999992</v>
      </c>
      <c r="T120" s="1423"/>
      <c r="U120" s="1423">
        <f>+'Exhibit F'!V108+'Exhibit G State'!V96</f>
        <v>285.10000000000031</v>
      </c>
      <c r="V120" s="1423"/>
      <c r="W120" s="1423"/>
      <c r="X120" s="1423"/>
      <c r="Y120" s="1423"/>
      <c r="Z120" s="1423"/>
      <c r="AA120" s="2725"/>
      <c r="AB120" s="1979">
        <f t="shared" si="21"/>
        <v>4408.6000000000004</v>
      </c>
      <c r="AC120" s="3338"/>
      <c r="AD120" s="3334"/>
      <c r="AE120" s="1979">
        <f>+'Exhibit F'!AF108+'Exhibit G State'!AG96</f>
        <v>1972.1999999999998</v>
      </c>
      <c r="AF120" s="3085"/>
      <c r="AG120" s="3085"/>
      <c r="AH120" s="3083">
        <f t="shared" si="22"/>
        <v>2436.4</v>
      </c>
      <c r="AI120" s="3042"/>
      <c r="AJ120" s="1797">
        <f t="shared" si="23"/>
        <v>1.2350000000000001</v>
      </c>
    </row>
    <row r="121" spans="1:38" ht="15">
      <c r="A121" s="2729" t="s">
        <v>32</v>
      </c>
      <c r="B121" s="1424"/>
      <c r="C121" s="1423">
        <f>+'Exhibit F'!D109+'Exhibit G State'!D97</f>
        <v>5.3</v>
      </c>
      <c r="D121" s="1423"/>
      <c r="E121" s="1423">
        <f>+'Exhibit F'!F109+'Exhibit G State'!F97</f>
        <v>9.1999999999999993</v>
      </c>
      <c r="F121" s="1423"/>
      <c r="G121" s="1423">
        <f>+'Exhibit F'!H109+'Exhibit G State'!H97</f>
        <v>211.8</v>
      </c>
      <c r="H121" s="1423"/>
      <c r="I121" s="1423">
        <f>+'Exhibit F'!J109+'Exhibit G State'!J97</f>
        <v>26.699999999999982</v>
      </c>
      <c r="J121" s="1423"/>
      <c r="K121" s="1423">
        <f>+'Exhibit F'!L109+'Exhibit G State'!L97</f>
        <v>13.79999999999999</v>
      </c>
      <c r="L121" s="1423"/>
      <c r="M121" s="1423">
        <f>+'Exhibit F'!N109+'Exhibit G State'!N97</f>
        <v>27.900000000000023</v>
      </c>
      <c r="N121" s="1423"/>
      <c r="O121" s="1423">
        <f>+'Exhibit F'!P109+'Exhibit G State'!P97</f>
        <v>224.29999999999998</v>
      </c>
      <c r="P121" s="1423"/>
      <c r="Q121" s="1423">
        <f>+'Exhibit F'!R109+'Exhibit G State'!R97</f>
        <v>213.6</v>
      </c>
      <c r="R121" s="1423"/>
      <c r="S121" s="1423">
        <f>+'Exhibit F'!T109+'Exhibit G State'!T97</f>
        <v>26.500000000000036</v>
      </c>
      <c r="T121" s="1423"/>
      <c r="U121" s="1423">
        <f>+'Exhibit F'!V109+'Exhibit G State'!V97</f>
        <v>13.099999999999902</v>
      </c>
      <c r="V121" s="1423"/>
      <c r="W121" s="1423"/>
      <c r="X121" s="1423"/>
      <c r="Y121" s="1423"/>
      <c r="Z121" s="1423"/>
      <c r="AA121" s="2725"/>
      <c r="AB121" s="1979">
        <f t="shared" si="21"/>
        <v>772.2</v>
      </c>
      <c r="AC121" s="3338"/>
      <c r="AD121" s="3334"/>
      <c r="AE121" s="1979">
        <f>+'Exhibit F'!AF109+'Exhibit G State'!AG97</f>
        <v>104.80000000000001</v>
      </c>
      <c r="AF121" s="3085"/>
      <c r="AG121" s="3085"/>
      <c r="AH121" s="3083">
        <f t="shared" si="22"/>
        <v>667.4</v>
      </c>
      <c r="AI121" s="3042"/>
      <c r="AJ121" s="1797">
        <f t="shared" si="23"/>
        <v>6.3680000000000003</v>
      </c>
    </row>
    <row r="122" spans="1:38" ht="15">
      <c r="A122" s="2729" t="s">
        <v>33</v>
      </c>
      <c r="B122" s="1424"/>
      <c r="C122" s="1423">
        <f>+'Exhibit F'!D110+'Exhibit G State'!D98</f>
        <v>208.5</v>
      </c>
      <c r="D122" s="1423"/>
      <c r="E122" s="1423">
        <f>+'Exhibit F'!F110+'Exhibit G State'!F98</f>
        <v>430.09999999999991</v>
      </c>
      <c r="F122" s="1423"/>
      <c r="G122" s="1423">
        <f>+'Exhibit F'!H110+'Exhibit G State'!H98</f>
        <v>298.60000000000008</v>
      </c>
      <c r="H122" s="1423"/>
      <c r="I122" s="1423">
        <f>+'Exhibit F'!J110+'Exhibit G State'!J98</f>
        <v>299.79999999999995</v>
      </c>
      <c r="J122" s="1423"/>
      <c r="K122" s="1423">
        <f>+'Exhibit F'!L110+'Exhibit G State'!L98</f>
        <v>434.9</v>
      </c>
      <c r="L122" s="1423"/>
      <c r="M122" s="1423">
        <f>+'Exhibit F'!N110+'Exhibit G State'!N98</f>
        <v>271.90000000000032</v>
      </c>
      <c r="N122" s="1423"/>
      <c r="O122" s="1423">
        <f>+'Exhibit F'!P110+'Exhibit G State'!P98</f>
        <v>283.1999999999997</v>
      </c>
      <c r="P122" s="1423"/>
      <c r="Q122" s="1423">
        <f>+'Exhibit F'!R110+'Exhibit G State'!R98</f>
        <v>537.9000000000002</v>
      </c>
      <c r="R122" s="1423"/>
      <c r="S122" s="1423">
        <f>+'Exhibit F'!T110+'Exhibit G State'!T98</f>
        <v>775.1</v>
      </c>
      <c r="T122" s="1423"/>
      <c r="U122" s="1423">
        <f>+'Exhibit F'!V110+'Exhibit G State'!V98</f>
        <v>69.699999999999818</v>
      </c>
      <c r="V122" s="1423"/>
      <c r="W122" s="1423"/>
      <c r="X122" s="1423"/>
      <c r="Y122" s="1423"/>
      <c r="Z122" s="1423"/>
      <c r="AA122" s="2725"/>
      <c r="AB122" s="3083">
        <f>ROUND(SUM(C122:Y122),1)</f>
        <v>3609.7</v>
      </c>
      <c r="AC122" s="3338"/>
      <c r="AD122" s="3334"/>
      <c r="AE122" s="1979">
        <f>+'Exhibit F'!AF110+'Exhibit G State'!AG98</f>
        <v>3003.4</v>
      </c>
      <c r="AF122" s="3085"/>
      <c r="AG122" s="3085"/>
      <c r="AH122" s="3083">
        <f>ROUND(SUM(AB122-AE122),1)</f>
        <v>606.29999999999995</v>
      </c>
      <c r="AI122" s="3042"/>
      <c r="AJ122" s="1432">
        <f t="shared" si="23"/>
        <v>0.20200000000000001</v>
      </c>
    </row>
    <row r="123" spans="1:38" ht="15.6">
      <c r="A123" s="1424" t="s">
        <v>34</v>
      </c>
      <c r="B123" s="1424"/>
      <c r="C123" s="2732">
        <f>ROUND(SUM(C113:C122),1)</f>
        <v>4031.6</v>
      </c>
      <c r="D123" s="2733"/>
      <c r="E123" s="2732">
        <f>ROUND(SUM(E113:E122),1)</f>
        <v>6658.1</v>
      </c>
      <c r="F123" s="2733"/>
      <c r="G123" s="2732">
        <f>ROUND(SUM(G113:G122),1)</f>
        <v>7266.9</v>
      </c>
      <c r="H123" s="2733"/>
      <c r="I123" s="2732">
        <f>ROUND(SUM(I113:I122),1)</f>
        <v>3798.1</v>
      </c>
      <c r="J123" s="2733"/>
      <c r="K123" s="2732">
        <f>ROUND(SUM(K113:K122),1)</f>
        <v>3748.9</v>
      </c>
      <c r="L123" s="2733"/>
      <c r="M123" s="2732">
        <f>ROUND(SUM(M113:M122),1)</f>
        <v>7643.8</v>
      </c>
      <c r="N123" s="2733"/>
      <c r="O123" s="3339">
        <f>ROUND(SUM(O113:O122),1)</f>
        <v>6213.4</v>
      </c>
      <c r="P123" s="2733"/>
      <c r="Q123" s="2732">
        <f>ROUND(SUM(Q113:Q122),1)</f>
        <v>5168.3999999999996</v>
      </c>
      <c r="R123" s="2733"/>
      <c r="S123" s="2732">
        <f>ROUND(SUM(S113:S122),1)</f>
        <v>7256.3</v>
      </c>
      <c r="T123" s="2733"/>
      <c r="U123" s="2732">
        <f>ROUND(SUM(U113:U122),1)</f>
        <v>5439.6</v>
      </c>
      <c r="V123" s="2733"/>
      <c r="W123" s="2732">
        <f>ROUND(SUM(W113:W122),1)</f>
        <v>0</v>
      </c>
      <c r="X123" s="2733"/>
      <c r="Y123" s="2732">
        <f>ROUND(SUM(Y113:Y122),1)</f>
        <v>0</v>
      </c>
      <c r="Z123" s="2733"/>
      <c r="AA123" s="2734"/>
      <c r="AB123" s="3339">
        <f>ROUND(SUM(AB113:AB122),1)</f>
        <v>57225.1</v>
      </c>
      <c r="AC123" s="3340"/>
      <c r="AD123" s="3341"/>
      <c r="AE123" s="1444">
        <f>ROUND(SUM(AE113:AE122),1)</f>
        <v>47868.4</v>
      </c>
      <c r="AF123" s="3084"/>
      <c r="AG123" s="3084"/>
      <c r="AH123" s="1444">
        <f>ROUND(SUM(AH113:AH122),1)</f>
        <v>9356.7000000000007</v>
      </c>
      <c r="AI123" s="3026"/>
      <c r="AJ123" s="2503">
        <f t="shared" si="23"/>
        <v>0.19500000000000001</v>
      </c>
      <c r="AK123" s="2719"/>
      <c r="AL123" s="2719"/>
    </row>
    <row r="124" spans="1:38" ht="15">
      <c r="A124" s="1424" t="s">
        <v>35</v>
      </c>
      <c r="B124" s="1424"/>
      <c r="C124" s="2723"/>
      <c r="D124" s="1423"/>
      <c r="E124" s="2723"/>
      <c r="F124" s="1423"/>
      <c r="G124" s="2723"/>
      <c r="H124" s="1423"/>
      <c r="I124" s="2723"/>
      <c r="J124" s="1423"/>
      <c r="K124" s="2723"/>
      <c r="L124" s="1423"/>
      <c r="M124" s="2723"/>
      <c r="N124" s="1423"/>
      <c r="O124" s="3085"/>
      <c r="P124" s="1423"/>
      <c r="Q124" s="2723"/>
      <c r="R124" s="1423"/>
      <c r="S124" s="2723"/>
      <c r="T124" s="1423"/>
      <c r="U124" s="2723"/>
      <c r="V124" s="1423"/>
      <c r="W124" s="2723"/>
      <c r="X124" s="1423"/>
      <c r="Y124" s="2723"/>
      <c r="Z124" s="1423"/>
      <c r="AA124" s="2725"/>
      <c r="AB124" s="3085"/>
      <c r="AC124" s="3083"/>
      <c r="AD124" s="3334"/>
      <c r="AE124" s="2020"/>
      <c r="AF124" s="3085"/>
      <c r="AG124" s="3085"/>
      <c r="AH124" s="1979"/>
      <c r="AI124" s="3042"/>
      <c r="AJ124" s="3296"/>
    </row>
    <row r="125" spans="1:38" ht="15">
      <c r="A125" s="1424" t="s">
        <v>137</v>
      </c>
      <c r="B125" s="1424"/>
      <c r="C125" s="1423">
        <f>+'Exhibit F'!D113+'Exhibit G State'!D101</f>
        <v>1107.2</v>
      </c>
      <c r="D125" s="1423"/>
      <c r="E125" s="1423">
        <f>+'Exhibit F'!F113+'Exhibit G State'!F101</f>
        <v>1131.4000000000001</v>
      </c>
      <c r="F125" s="1423"/>
      <c r="G125" s="1423">
        <f>+'Exhibit F'!H113+'Exhibit G State'!H101</f>
        <v>709.8</v>
      </c>
      <c r="H125" s="1423"/>
      <c r="I125" s="1423">
        <f>+'Exhibit F'!J113+'Exhibit G State'!J101</f>
        <v>1272.6000000000001</v>
      </c>
      <c r="J125" s="1423"/>
      <c r="K125" s="1423">
        <f>+'Exhibit F'!L113+'Exhibit G State'!L101</f>
        <v>1060.8000000000002</v>
      </c>
      <c r="L125" s="1423"/>
      <c r="M125" s="1423">
        <f>+'Exhibit F'!N113+'Exhibit G State'!N101</f>
        <v>1415.6</v>
      </c>
      <c r="N125" s="1423"/>
      <c r="O125" s="3890">
        <f>+'Exhibit F'!P113+'Exhibit G State'!P101</f>
        <v>1044.399999999999</v>
      </c>
      <c r="P125" s="1423"/>
      <c r="Q125" s="1423">
        <f>+'Exhibit F'!R113+'Exhibit G State'!R101</f>
        <v>1343.1000000000008</v>
      </c>
      <c r="R125" s="1423"/>
      <c r="S125" s="1423">
        <f>+'Exhibit F'!T113+'Exhibit G State'!T101</f>
        <v>635.3000000000003</v>
      </c>
      <c r="T125" s="1423"/>
      <c r="U125" s="1423">
        <f>+'Exhibit F'!V113+'Exhibit G State'!V101</f>
        <v>1050.9000000000003</v>
      </c>
      <c r="V125" s="1423"/>
      <c r="W125" s="1423"/>
      <c r="X125" s="1423"/>
      <c r="Y125" s="1423"/>
      <c r="Z125" s="1423"/>
      <c r="AA125" s="2725"/>
      <c r="AB125" s="3083">
        <f>ROUND(SUM(C125:Y125),1)</f>
        <v>10771.1</v>
      </c>
      <c r="AC125" s="3083"/>
      <c r="AD125" s="3334"/>
      <c r="AE125" s="1979">
        <f>+'Exhibit F'!AF113+'Exhibit G State'!AG101</f>
        <v>9912.1</v>
      </c>
      <c r="AF125" s="3085"/>
      <c r="AG125" s="3085"/>
      <c r="AH125" s="3083">
        <f>ROUND(SUM(AB125-AE125),1)</f>
        <v>859</v>
      </c>
      <c r="AI125" s="3042"/>
      <c r="AJ125" s="1797">
        <f>ROUND(SUM(AH125/ABS(AE125)),3)</f>
        <v>8.6999999999999994E-2</v>
      </c>
    </row>
    <row r="126" spans="1:38" ht="15">
      <c r="A126" s="1424" t="s">
        <v>138</v>
      </c>
      <c r="B126" s="1424"/>
      <c r="C126" s="1423">
        <f>+'Exhibit F'!D114+'Exhibit G State'!D102+'Exhibit H'!B58</f>
        <v>362.49999999999994</v>
      </c>
      <c r="D126" s="1423"/>
      <c r="E126" s="1423">
        <f>+'Exhibit F'!F114+'Exhibit G State'!F102+'Exhibit H'!D58</f>
        <v>470.3</v>
      </c>
      <c r="F126" s="1423"/>
      <c r="G126" s="1423">
        <f>+'Exhibit F'!H114+'Exhibit G State'!H102+'Exhibit H'!F58</f>
        <v>373.99999999999994</v>
      </c>
      <c r="H126" s="1423"/>
      <c r="I126" s="1423">
        <f>+'Exhibit F'!J114+'Exhibit G State'!J102+'Exhibit H'!H58</f>
        <v>364.90000000000003</v>
      </c>
      <c r="J126" s="1423"/>
      <c r="K126" s="1423">
        <f>+'Exhibit F'!L114+'Exhibit G State'!L102+'Exhibit H'!J58</f>
        <v>511.80000000000007</v>
      </c>
      <c r="L126" s="1423"/>
      <c r="M126" s="1423">
        <f>+'Exhibit F'!N114+'Exhibit G State'!N102+'Exhibit H'!L58</f>
        <v>485.59999999999991</v>
      </c>
      <c r="N126" s="1423"/>
      <c r="O126" s="3890">
        <f>+'Exhibit F'!P114+'Exhibit G State'!P102+'Exhibit H'!N58</f>
        <v>436.7999999999999</v>
      </c>
      <c r="P126" s="1423"/>
      <c r="Q126" s="1423">
        <f>+'Exhibit F'!R114+'Exhibit G State'!R102+'Exhibit H'!P58</f>
        <v>463.2</v>
      </c>
      <c r="R126" s="1423"/>
      <c r="S126" s="1423">
        <f>+'Exhibit F'!T114+'Exhibit G State'!T102+'Exhibit H'!R58</f>
        <v>493</v>
      </c>
      <c r="T126" s="1423"/>
      <c r="U126" s="1423">
        <f>+'Exhibit F'!V114+'Exhibit G State'!V102+'Exhibit H'!T58</f>
        <v>650.00000000000034</v>
      </c>
      <c r="V126" s="1423"/>
      <c r="W126" s="1423"/>
      <c r="X126" s="1423"/>
      <c r="Y126" s="1423"/>
      <c r="Z126" s="1423"/>
      <c r="AA126" s="2725"/>
      <c r="AB126" s="3083">
        <f>ROUND(SUM(C126:Y126),1)</f>
        <v>4612.1000000000004</v>
      </c>
      <c r="AC126" s="3083"/>
      <c r="AD126" s="3334"/>
      <c r="AE126" s="1979">
        <f>+'Exhibit F'!AF114+'Exhibit G State'!AG102+'Exhibit H'!AD58</f>
        <v>3597.9</v>
      </c>
      <c r="AF126" s="3085"/>
      <c r="AG126" s="3085"/>
      <c r="AH126" s="3083">
        <f>ROUND(SUM(AB126-AE126),1)</f>
        <v>1014.2</v>
      </c>
      <c r="AI126" s="3042"/>
      <c r="AJ126" s="1797">
        <f>ROUND(SUM(AH126/ABS(AE126)),3)</f>
        <v>0.28199999999999997</v>
      </c>
    </row>
    <row r="127" spans="1:38" ht="15">
      <c r="A127" s="1424" t="s">
        <v>38</v>
      </c>
      <c r="B127" s="1424"/>
      <c r="C127" s="1423">
        <f>+'Exhibit F'!D115+'Exhibit G State'!D103</f>
        <v>870.09999999999991</v>
      </c>
      <c r="D127" s="1423"/>
      <c r="E127" s="1423">
        <f>+'Exhibit F'!F115+'Exhibit G State'!F103</f>
        <v>2340.0000000000005</v>
      </c>
      <c r="F127" s="1423"/>
      <c r="G127" s="1423">
        <f>+'Exhibit F'!H115+'Exhibit G State'!H103</f>
        <v>468.8999999999993</v>
      </c>
      <c r="H127" s="1423"/>
      <c r="I127" s="1423">
        <f>+'Exhibit F'!J115+'Exhibit G State'!J103</f>
        <v>537.20000000000073</v>
      </c>
      <c r="J127" s="1423"/>
      <c r="K127" s="1423">
        <f>+'Exhibit F'!L115+'Exhibit G State'!L103</f>
        <v>468.39999999999964</v>
      </c>
      <c r="L127" s="1423"/>
      <c r="M127" s="1423">
        <f>+'Exhibit F'!N115+'Exhibit G State'!N103</f>
        <v>700.79999999999961</v>
      </c>
      <c r="N127" s="1423"/>
      <c r="O127" s="3890">
        <f>+'Exhibit F'!P115+'Exhibit G State'!P103</f>
        <v>593.99999999999977</v>
      </c>
      <c r="P127" s="1423"/>
      <c r="Q127" s="1423">
        <f>+'Exhibit F'!R115+'Exhibit G State'!R103</f>
        <v>779.10000000000082</v>
      </c>
      <c r="R127" s="1423"/>
      <c r="S127" s="1423">
        <f>+'Exhibit F'!T115+'Exhibit G State'!T103</f>
        <v>237.09999999999977</v>
      </c>
      <c r="T127" s="1423"/>
      <c r="U127" s="1423">
        <f>+'Exhibit F'!V115+'Exhibit G State'!V103</f>
        <v>549.70000000000027</v>
      </c>
      <c r="V127" s="1423"/>
      <c r="W127" s="1423"/>
      <c r="X127" s="1423"/>
      <c r="Y127" s="1423"/>
      <c r="Z127" s="1423"/>
      <c r="AA127" s="2725"/>
      <c r="AB127" s="3083">
        <f>ROUND(SUM(C127:Y127),1)</f>
        <v>7545.3</v>
      </c>
      <c r="AC127" s="3083"/>
      <c r="AD127" s="3334"/>
      <c r="AE127" s="1979">
        <f>+'Exhibit F'!AF115+'Exhibit G State'!AG103</f>
        <v>5838.9</v>
      </c>
      <c r="AF127" s="3085"/>
      <c r="AG127" s="3085"/>
      <c r="AH127" s="3083">
        <f>ROUND(SUM(AB127-AE127),1)</f>
        <v>1706.4</v>
      </c>
      <c r="AI127" s="3042"/>
      <c r="AJ127" s="1797">
        <f>ROUND(SUM(AH127/ABS(AE127)),3)</f>
        <v>0.29199999999999998</v>
      </c>
    </row>
    <row r="128" spans="1:38" ht="15">
      <c r="A128" s="1424" t="s">
        <v>39</v>
      </c>
      <c r="B128" s="1424"/>
      <c r="C128" s="2723"/>
      <c r="D128" s="1423"/>
      <c r="E128" s="2723"/>
      <c r="F128" s="1423"/>
      <c r="G128" s="2723"/>
      <c r="H128" s="1423"/>
      <c r="I128" s="2723"/>
      <c r="J128" s="1423"/>
      <c r="K128" s="2723"/>
      <c r="L128" s="1423"/>
      <c r="M128" s="2723"/>
      <c r="N128" s="1423"/>
      <c r="O128" s="3890"/>
      <c r="P128" s="1423"/>
      <c r="Q128" s="2723"/>
      <c r="R128" s="1423"/>
      <c r="S128" s="2723"/>
      <c r="T128" s="1423"/>
      <c r="U128" s="2723"/>
      <c r="V128" s="1423"/>
      <c r="W128" s="2723"/>
      <c r="X128" s="1423"/>
      <c r="Y128" s="2723"/>
      <c r="Z128" s="1423"/>
      <c r="AA128" s="2725"/>
      <c r="AB128" s="3083"/>
      <c r="AC128" s="3083"/>
      <c r="AD128" s="3334"/>
      <c r="AE128" s="3085"/>
      <c r="AF128" s="3085"/>
      <c r="AG128" s="3085"/>
      <c r="AH128" s="3083"/>
      <c r="AI128" s="3042"/>
      <c r="AJ128" s="1797"/>
    </row>
    <row r="129" spans="1:59" ht="15">
      <c r="A129" s="1424" t="s">
        <v>40</v>
      </c>
      <c r="B129" s="1424"/>
      <c r="C129" s="1423">
        <f>+'Exhibit H'!B60</f>
        <v>122.4</v>
      </c>
      <c r="D129" s="1423"/>
      <c r="E129" s="1423">
        <f>+'Exhibit H'!D60</f>
        <v>40.5</v>
      </c>
      <c r="F129" s="1423"/>
      <c r="G129" s="1423">
        <f>+'Exhibit H'!F60</f>
        <v>-21.800000000000011</v>
      </c>
      <c r="H129" s="1423"/>
      <c r="I129" s="1423">
        <f>+'Exhibit H'!H60</f>
        <v>7.2</v>
      </c>
      <c r="J129" s="1423"/>
      <c r="K129" s="1423">
        <f>+'Exhibit H'!J60</f>
        <v>307.70000000000005</v>
      </c>
      <c r="L129" s="1423"/>
      <c r="M129" s="1423">
        <f>+'Exhibit H'!L60</f>
        <v>742.19999999999982</v>
      </c>
      <c r="N129" s="1423"/>
      <c r="O129" s="3890">
        <f>+'Exhibit H'!N60</f>
        <v>9.2000000000000455</v>
      </c>
      <c r="P129" s="1423"/>
      <c r="Q129" s="1423">
        <f>+'Exhibit H'!P60</f>
        <v>26</v>
      </c>
      <c r="R129" s="1423"/>
      <c r="S129" s="1423">
        <f>+'Exhibit H'!R60</f>
        <v>209.19999999999982</v>
      </c>
      <c r="T129" s="1423"/>
      <c r="U129" s="1423">
        <f>+'Exhibit H'!T60</f>
        <v>7.6000000000001364</v>
      </c>
      <c r="V129" s="1423"/>
      <c r="W129" s="1423"/>
      <c r="X129" s="1423"/>
      <c r="Y129" s="1423"/>
      <c r="Z129" s="1423"/>
      <c r="AA129" s="2725"/>
      <c r="AB129" s="3083">
        <f>ROUND(SUM(C129:Y129),1)</f>
        <v>1450.2</v>
      </c>
      <c r="AC129" s="3083"/>
      <c r="AD129" s="3334"/>
      <c r="AE129" s="2020">
        <f>+'Exhibit H'!AD60</f>
        <v>2589.6</v>
      </c>
      <c r="AF129" s="3085"/>
      <c r="AG129" s="3085"/>
      <c r="AH129" s="3083">
        <f>ROUND(SUM(AB129-AE129),1)</f>
        <v>-1139.4000000000001</v>
      </c>
      <c r="AI129" s="3042"/>
      <c r="AJ129" s="1797">
        <f>ROUND(SUM(AH129/ABS(AE129)),3)</f>
        <v>-0.44</v>
      </c>
    </row>
    <row r="130" spans="1:59" ht="15">
      <c r="A130" s="1424" t="s">
        <v>139</v>
      </c>
      <c r="B130" s="1424"/>
      <c r="C130" s="1423">
        <f>'Exhibit G State'!D104</f>
        <v>0</v>
      </c>
      <c r="D130" s="1423"/>
      <c r="E130" s="1423">
        <f>'Exhibit G State'!F104</f>
        <v>0</v>
      </c>
      <c r="F130" s="1423"/>
      <c r="G130" s="1423">
        <f>'Exhibit G State'!H104</f>
        <v>0</v>
      </c>
      <c r="H130" s="1423"/>
      <c r="I130" s="1423">
        <f>'Exhibit G State'!J104</f>
        <v>0</v>
      </c>
      <c r="J130" s="1423"/>
      <c r="K130" s="1423">
        <f>'Exhibit G State'!L104</f>
        <v>0</v>
      </c>
      <c r="L130" s="1423"/>
      <c r="M130" s="1423">
        <f>'Exhibit G State'!N104</f>
        <v>0</v>
      </c>
      <c r="N130" s="1423"/>
      <c r="O130" s="3890">
        <f>'Exhibit G State'!P104</f>
        <v>0</v>
      </c>
      <c r="P130" s="1423"/>
      <c r="Q130" s="1423">
        <f>'Exhibit G State'!R104</f>
        <v>0</v>
      </c>
      <c r="R130" s="1423"/>
      <c r="S130" s="1423">
        <f>'Exhibit G State'!T104</f>
        <v>0</v>
      </c>
      <c r="T130" s="1423"/>
      <c r="U130" s="1423">
        <f>'Exhibit G State'!V104</f>
        <v>0</v>
      </c>
      <c r="V130" s="1423"/>
      <c r="W130" s="1423"/>
      <c r="X130" s="1423"/>
      <c r="Y130" s="1423"/>
      <c r="Z130" s="1423"/>
      <c r="AA130" s="2724"/>
      <c r="AB130" s="3083">
        <f>ROUND(SUM(C130:Y130),1)</f>
        <v>0</v>
      </c>
      <c r="AC130" s="3083"/>
      <c r="AD130" s="3334"/>
      <c r="AE130" s="2020">
        <f>+'Exhibit G'!AG106-2.3</f>
        <v>0</v>
      </c>
      <c r="AF130" s="3085"/>
      <c r="AG130" s="3085"/>
      <c r="AH130" s="3083">
        <f>ROUND(SUM(AB130-AE130),1)</f>
        <v>0</v>
      </c>
      <c r="AI130" s="3042"/>
      <c r="AJ130" s="1703">
        <f>ROUND(IF(AE130=0,0,AH130/ABS(AE130)),3)</f>
        <v>0</v>
      </c>
    </row>
    <row r="131" spans="1:59" ht="16.5" customHeight="1">
      <c r="A131" s="1424"/>
      <c r="B131" s="1424"/>
      <c r="C131" s="3466"/>
      <c r="D131" s="1423"/>
      <c r="E131" s="3466"/>
      <c r="F131" s="1423"/>
      <c r="G131" s="3466"/>
      <c r="H131" s="1423"/>
      <c r="I131" s="3466"/>
      <c r="J131" s="1423"/>
      <c r="K131" s="3466"/>
      <c r="L131" s="1423"/>
      <c r="M131" s="3466"/>
      <c r="N131" s="1423"/>
      <c r="O131" s="3467"/>
      <c r="P131" s="1423"/>
      <c r="Q131" s="3466"/>
      <c r="R131" s="1423"/>
      <c r="S131" s="3466"/>
      <c r="T131" s="1423"/>
      <c r="U131" s="3466"/>
      <c r="V131" s="1423"/>
      <c r="W131" s="3466"/>
      <c r="X131" s="1423"/>
      <c r="Y131" s="3466"/>
      <c r="Z131" s="1423"/>
      <c r="AA131" s="2725"/>
      <c r="AB131" s="3467"/>
      <c r="AC131" s="3083"/>
      <c r="AD131" s="3334"/>
      <c r="AE131" s="3467"/>
      <c r="AF131" s="3085"/>
      <c r="AG131" s="3085"/>
      <c r="AH131" s="3467"/>
      <c r="AI131" s="3042"/>
      <c r="AJ131" s="3468"/>
    </row>
    <row r="132" spans="1:59" ht="16.5" customHeight="1">
      <c r="A132" s="1989" t="s">
        <v>56</v>
      </c>
      <c r="B132" s="1424"/>
      <c r="C132" s="2735">
        <f>ROUND(SUM(C123:C130),1)</f>
        <v>6493.8</v>
      </c>
      <c r="D132" s="2733"/>
      <c r="E132" s="2735">
        <f>ROUND(SUM(E123:E130),1)</f>
        <v>10640.3</v>
      </c>
      <c r="F132" s="2733"/>
      <c r="G132" s="2735">
        <f>ROUND(SUM(G123:G130),1)</f>
        <v>8797.7999999999993</v>
      </c>
      <c r="H132" s="2733"/>
      <c r="I132" s="2735">
        <f>ROUND(SUM(I123:I130),1)</f>
        <v>5980</v>
      </c>
      <c r="J132" s="2733"/>
      <c r="K132" s="2735">
        <f>ROUND(SUM(K123:K130),1)</f>
        <v>6097.6</v>
      </c>
      <c r="L132" s="2733"/>
      <c r="M132" s="2735">
        <f>ROUND(SUM(M123:M130),1)</f>
        <v>10988</v>
      </c>
      <c r="N132" s="2733"/>
      <c r="O132" s="3087">
        <f>ROUND(SUM(O123:O130),1)</f>
        <v>8297.7999999999993</v>
      </c>
      <c r="P132" s="2733"/>
      <c r="Q132" s="2735">
        <f>ROUND(SUM(Q123:Q130),1)</f>
        <v>7779.8</v>
      </c>
      <c r="R132" s="2733"/>
      <c r="S132" s="2735">
        <f>ROUND(SUM(S123:S130),1)</f>
        <v>8830.9</v>
      </c>
      <c r="T132" s="2733"/>
      <c r="U132" s="2735">
        <f>ROUND(SUM(U123:U130),1)</f>
        <v>7697.8</v>
      </c>
      <c r="V132" s="2733"/>
      <c r="W132" s="2735">
        <f>ROUND(SUM(W123:W130),1)</f>
        <v>0</v>
      </c>
      <c r="X132" s="2733"/>
      <c r="Y132" s="2735">
        <f>ROUND(SUM(Y123:Y130),1)</f>
        <v>0</v>
      </c>
      <c r="Z132" s="2733"/>
      <c r="AA132" s="2734"/>
      <c r="AB132" s="3087">
        <f>ROUND(SUM(AB123:AB130),1)</f>
        <v>81603.8</v>
      </c>
      <c r="AC132" s="3342"/>
      <c r="AD132" s="3341"/>
      <c r="AE132" s="1540">
        <f>ROUND(SUM(AE123:AE131),1)</f>
        <v>69806.899999999994</v>
      </c>
      <c r="AF132" s="3084"/>
      <c r="AG132" s="3084"/>
      <c r="AH132" s="1540">
        <f>ROUND(SUM(AH123:AH131),1)</f>
        <v>11796.9</v>
      </c>
      <c r="AI132" s="3026"/>
      <c r="AJ132" s="2527">
        <f>ROUND(SUM(AH132/ABS(AE132)),3)</f>
        <v>0.16900000000000001</v>
      </c>
      <c r="AK132" s="2719"/>
      <c r="AL132" s="2719"/>
      <c r="AM132" s="2719"/>
      <c r="AN132" s="2719"/>
      <c r="AO132" s="2719"/>
      <c r="AP132" s="2719"/>
      <c r="AQ132" s="2719"/>
      <c r="AR132" s="2719"/>
    </row>
    <row r="133" spans="1:59" ht="16.5" customHeight="1">
      <c r="A133" s="1989"/>
      <c r="B133" s="1424"/>
      <c r="C133" s="1423"/>
      <c r="D133" s="1423"/>
      <c r="E133" s="1423"/>
      <c r="F133" s="1423"/>
      <c r="G133" s="1423"/>
      <c r="H133" s="1423"/>
      <c r="I133" s="1423"/>
      <c r="J133" s="1423"/>
      <c r="K133" s="1423"/>
      <c r="L133" s="1423"/>
      <c r="M133" s="1423"/>
      <c r="N133" s="1423"/>
      <c r="O133" s="3083"/>
      <c r="P133" s="1423"/>
      <c r="Q133" s="1423"/>
      <c r="R133" s="1423"/>
      <c r="S133" s="1423"/>
      <c r="T133" s="1423"/>
      <c r="U133" s="1423"/>
      <c r="V133" s="1423"/>
      <c r="W133" s="1423"/>
      <c r="X133" s="1423"/>
      <c r="Y133" s="1423"/>
      <c r="Z133" s="1423"/>
      <c r="AA133" s="2725"/>
      <c r="AB133" s="3083"/>
      <c r="AC133" s="3083"/>
      <c r="AD133" s="3334"/>
      <c r="AE133" s="3083"/>
      <c r="AF133" s="3085"/>
      <c r="AG133" s="3085"/>
      <c r="AH133" s="1979"/>
      <c r="AI133" s="3042"/>
      <c r="AJ133" s="3296"/>
    </row>
    <row r="134" spans="1:59" ht="16.5" customHeight="1">
      <c r="A134" s="1989" t="s">
        <v>43</v>
      </c>
      <c r="B134" s="1424"/>
      <c r="C134" s="1423"/>
      <c r="D134" s="1423"/>
      <c r="E134" s="1423"/>
      <c r="F134" s="1423"/>
      <c r="G134" s="1423"/>
      <c r="H134" s="1423"/>
      <c r="I134" s="1423"/>
      <c r="J134" s="1423"/>
      <c r="K134" s="1423"/>
      <c r="L134" s="1423"/>
      <c r="M134" s="1423"/>
      <c r="N134" s="1423"/>
      <c r="O134" s="3083"/>
      <c r="P134" s="1423"/>
      <c r="Q134" s="1423"/>
      <c r="R134" s="1423"/>
      <c r="S134" s="1423"/>
      <c r="T134" s="1423"/>
      <c r="U134" s="1423"/>
      <c r="V134" s="1423"/>
      <c r="W134" s="1423"/>
      <c r="X134" s="1423"/>
      <c r="Y134" s="1423"/>
      <c r="Z134" s="1423"/>
      <c r="AA134" s="2725"/>
      <c r="AB134" s="3083"/>
      <c r="AC134" s="3083"/>
      <c r="AD134" s="3334"/>
      <c r="AE134" s="3083"/>
      <c r="AF134" s="3085"/>
      <c r="AG134" s="3085"/>
      <c r="AH134" s="1979"/>
      <c r="AI134" s="3042"/>
      <c r="AJ134" s="3296"/>
    </row>
    <row r="135" spans="1:59" ht="16.5" customHeight="1">
      <c r="A135" s="1989" t="s">
        <v>44</v>
      </c>
      <c r="B135" s="1424"/>
      <c r="C135" s="2735">
        <f>ROUND(SUM(C109-C132),1)</f>
        <v>4148.5</v>
      </c>
      <c r="D135" s="2733"/>
      <c r="E135" s="2735">
        <f>ROUND(SUM(E109-E132),1)</f>
        <v>2407.5</v>
      </c>
      <c r="F135" s="2733"/>
      <c r="G135" s="2735">
        <f>ROUND(SUM(G109-G132),1)</f>
        <v>2796.8</v>
      </c>
      <c r="H135" s="2733"/>
      <c r="I135" s="2735">
        <f>ROUND(SUM(I109-I132),1)</f>
        <v>1057</v>
      </c>
      <c r="J135" s="2733"/>
      <c r="K135" s="2735">
        <f>ROUND(SUM(K109-K132),1)</f>
        <v>1203.7</v>
      </c>
      <c r="L135" s="2733"/>
      <c r="M135" s="2735">
        <f>ROUND(SUM(M109-M132),1)</f>
        <v>1820.2</v>
      </c>
      <c r="N135" s="2733"/>
      <c r="O135" s="3087">
        <f>ROUND(SUM(O109-O132),1)</f>
        <v>-1242.4000000000001</v>
      </c>
      <c r="P135" s="2733"/>
      <c r="Q135" s="2735">
        <f>ROUND(SUM(Q109-Q132),1)</f>
        <v>-549.70000000000005</v>
      </c>
      <c r="R135" s="2733"/>
      <c r="S135" s="2735">
        <f>ROUND(SUM(S109-S132),1)</f>
        <v>13717.7</v>
      </c>
      <c r="T135" s="2733"/>
      <c r="U135" s="2735">
        <f>ROUND(SUM(U109-U132),1)</f>
        <v>7647.4</v>
      </c>
      <c r="V135" s="2733"/>
      <c r="W135" s="2735">
        <f>ROUND(SUM(W109-W132),1)</f>
        <v>0</v>
      </c>
      <c r="X135" s="2733"/>
      <c r="Y135" s="2735">
        <f>ROUND(SUM(Y109-Y132),1)</f>
        <v>0</v>
      </c>
      <c r="Z135" s="2733"/>
      <c r="AA135" s="2734"/>
      <c r="AB135" s="3087">
        <f>ROUND(SUM(AB109-AB132),1)</f>
        <v>33006.699999999997</v>
      </c>
      <c r="AC135" s="3342"/>
      <c r="AD135" s="3341"/>
      <c r="AE135" s="3087">
        <f>ROUND(SUM(AE109-AE132),1)</f>
        <v>18009.7</v>
      </c>
      <c r="AF135" s="3084"/>
      <c r="AG135" s="3084"/>
      <c r="AH135" s="3302">
        <f>ROUND(SUM(AB135-AE135),1)</f>
        <v>14997</v>
      </c>
      <c r="AI135" s="3026"/>
      <c r="AJ135" s="2161">
        <f>ROUND(SUM(AH135/ABS(AE135)),3)</f>
        <v>0.83299999999999996</v>
      </c>
      <c r="AK135" s="2719"/>
      <c r="AL135" s="2719"/>
    </row>
    <row r="136" spans="1:59" ht="16.5" customHeight="1">
      <c r="A136" s="1821"/>
      <c r="B136" s="1424"/>
      <c r="C136" s="2728"/>
      <c r="D136" s="1423"/>
      <c r="E136" s="2728"/>
      <c r="F136" s="1423"/>
      <c r="G136" s="2728"/>
      <c r="H136" s="1423"/>
      <c r="I136" s="2728"/>
      <c r="J136" s="1423"/>
      <c r="K136" s="2728"/>
      <c r="L136" s="1423"/>
      <c r="M136" s="2728"/>
      <c r="N136" s="1423"/>
      <c r="O136" s="2514"/>
      <c r="P136" s="1423"/>
      <c r="Q136" s="2728"/>
      <c r="R136" s="1423"/>
      <c r="S136" s="2728"/>
      <c r="T136" s="1423"/>
      <c r="U136" s="2728"/>
      <c r="V136" s="1423"/>
      <c r="W136" s="2728"/>
      <c r="X136" s="1423"/>
      <c r="Y136" s="2728"/>
      <c r="Z136" s="2736"/>
      <c r="AA136" s="2725"/>
      <c r="AB136" s="2514"/>
      <c r="AC136" s="3083"/>
      <c r="AD136" s="3334"/>
      <c r="AE136" s="2514"/>
      <c r="AF136" s="3085"/>
      <c r="AG136" s="3085"/>
      <c r="AH136" s="1979"/>
      <c r="AI136" s="3042"/>
      <c r="AJ136" s="3296"/>
    </row>
    <row r="137" spans="1:59" ht="16.5" customHeight="1">
      <c r="A137" s="1989" t="s">
        <v>45</v>
      </c>
      <c r="B137" s="1424"/>
      <c r="C137" s="2723"/>
      <c r="D137" s="1423"/>
      <c r="E137" s="2723"/>
      <c r="F137" s="2737"/>
      <c r="G137" s="2723"/>
      <c r="H137" s="2737"/>
      <c r="I137" s="2738"/>
      <c r="J137" s="2737"/>
      <c r="K137" s="2738"/>
      <c r="L137" s="2737"/>
      <c r="M137" s="2738"/>
      <c r="N137" s="2737"/>
      <c r="O137" s="3775"/>
      <c r="P137" s="2737"/>
      <c r="Q137" s="2738"/>
      <c r="R137" s="2737"/>
      <c r="S137" s="2738"/>
      <c r="T137" s="2737"/>
      <c r="U137" s="2738"/>
      <c r="V137" s="1423"/>
      <c r="W137" s="2738"/>
      <c r="X137" s="1423"/>
      <c r="Y137" s="2738"/>
      <c r="Z137" s="2739"/>
      <c r="AA137" s="2725"/>
      <c r="AB137" s="3085"/>
      <c r="AC137" s="3343"/>
      <c r="AD137" s="3083"/>
      <c r="AE137" s="3085"/>
      <c r="AF137" s="3085"/>
      <c r="AG137" s="3085"/>
      <c r="AH137" s="1979"/>
      <c r="AI137" s="3042"/>
      <c r="AJ137" s="3296"/>
    </row>
    <row r="138" spans="1:59" ht="16.5" customHeight="1">
      <c r="A138" s="1424" t="s">
        <v>1081</v>
      </c>
      <c r="B138" s="1424"/>
      <c r="C138" s="2740">
        <f>+'Exhibit F'!D124+'Exhibit F'!D125+'Exhibit F'!D126+'Exhibit F'!D127+'Exhibit G State'!D112+'Exhibit H'!B68</f>
        <v>4886.8999999999996</v>
      </c>
      <c r="D138" s="1423"/>
      <c r="E138" s="2740">
        <f>+'Exhibit F'!F124+'Exhibit F'!F125+'Exhibit F'!F126+'Exhibit F'!F127+'Exhibit G State'!F112+'Exhibit H'!D68</f>
        <v>5968.7999999999984</v>
      </c>
      <c r="F138" s="1423"/>
      <c r="G138" s="2740">
        <f>+'Exhibit F'!H124+'Exhibit F'!H125+'Exhibit F'!H126+'Exhibit F'!H127+'Exhibit G State'!H112+'Exhibit H'!F68</f>
        <v>5640.2000000000016</v>
      </c>
      <c r="H138" s="1423"/>
      <c r="I138" s="2740">
        <f>+'Exhibit F'!J124+'Exhibit F'!J125+'Exhibit F'!J126+'Exhibit F'!J127+'Exhibit G State'!J112+'Exhibit H'!H68</f>
        <v>3452.7000000000025</v>
      </c>
      <c r="J138" s="1423"/>
      <c r="K138" s="2740">
        <f>+'Exhibit F'!L124+'Exhibit F'!L125+'Exhibit F'!L126+'Exhibit F'!L127+'Exhibit G State'!L112+'Exhibit H'!J68</f>
        <v>2475.5999999999967</v>
      </c>
      <c r="L138" s="1423"/>
      <c r="M138" s="2740">
        <f>+'Exhibit F'!N124+'Exhibit F'!N125+'Exhibit F'!N126+'Exhibit F'!N127+'Exhibit G State'!N112+'Exhibit H'!L68</f>
        <v>5350.9999999999982</v>
      </c>
      <c r="N138" s="1423"/>
      <c r="O138" s="2740">
        <f>+'Exhibit F'!P124+'Exhibit F'!P125+'Exhibit F'!P126+'Exhibit F'!P127+'Exhibit G State'!P112+'Exhibit H'!N68</f>
        <v>3154.4999999999986</v>
      </c>
      <c r="P138" s="1423"/>
      <c r="Q138" s="2740">
        <f>+'Exhibit F'!R124+'Exhibit F'!R125+'Exhibit F'!R126+'Exhibit F'!R127+'Exhibit G State'!R112+'Exhibit H'!P68</f>
        <v>3045.4999999999995</v>
      </c>
      <c r="R138" s="1423"/>
      <c r="S138" s="2740">
        <f>+'Exhibit F'!T124+'Exhibit F'!T125+'Exhibit F'!T126+'Exhibit F'!T127+'Exhibit G State'!T112+'Exhibit H'!R68</f>
        <v>10083.200000000001</v>
      </c>
      <c r="T138" s="1423"/>
      <c r="U138" s="2740">
        <f>+'Exhibit F'!V124+'Exhibit F'!V125+'Exhibit F'!V126+'Exhibit F'!V127+'Exhibit G State'!V112+'Exhibit H'!T68</f>
        <v>1860.8000000000034</v>
      </c>
      <c r="V138" s="1423"/>
      <c r="W138" s="2740"/>
      <c r="X138" s="1423"/>
      <c r="Y138" s="2740"/>
      <c r="Z138" s="1423"/>
      <c r="AA138" s="2725"/>
      <c r="AB138" s="3083">
        <f>ROUND(SUM(C138:Y138),1)</f>
        <v>45919.199999999997</v>
      </c>
      <c r="AC138" s="3083"/>
      <c r="AD138" s="3336"/>
      <c r="AE138" s="3083">
        <f>'Exhibit F'!AF124+'Exhibit F'!AF125+'Exhibit F'!AF126+'Exhibit F'!AF127+'Exhibit G State'!AG112+'Exhibit H'!AD68</f>
        <v>26494.000000000004</v>
      </c>
      <c r="AF138" s="3085"/>
      <c r="AG138" s="3085"/>
      <c r="AH138" s="3083">
        <f>ROUND(SUM(AB138-AE138),1)</f>
        <v>19425.2</v>
      </c>
      <c r="AI138" s="3042"/>
      <c r="AJ138" s="1797">
        <f>ROUND(SUM(AH138/ABS(AE138)),3)</f>
        <v>0.73299999999999998</v>
      </c>
    </row>
    <row r="139" spans="1:59" ht="16.5" customHeight="1">
      <c r="A139" s="1424" t="s">
        <v>1082</v>
      </c>
      <c r="C139" s="2741">
        <f>+'Exhibit F'!D128+'Exhibit F'!D129+'Exhibit F'!D130+'Exhibit F'!D131+'Exhibit G State'!D113+'Exhibit H'!B69</f>
        <v>-5216.4000000000005</v>
      </c>
      <c r="D139" s="2497"/>
      <c r="E139" s="2741">
        <f>+'Exhibit F'!F128+'Exhibit F'!F129+'Exhibit F'!F130+'Exhibit F'!F131+'Exhibit G State'!F113+'Exhibit H'!D69</f>
        <v>-6175.4000000000005</v>
      </c>
      <c r="F139" s="2497"/>
      <c r="G139" s="2741">
        <f>+'Exhibit F'!H128+'Exhibit F'!H129+'Exhibit F'!H130+'Exhibit F'!H131+'Exhibit G State'!H113+'Exhibit H'!F69</f>
        <v>-6296.4000000000015</v>
      </c>
      <c r="H139" s="2497"/>
      <c r="I139" s="2741">
        <f>+'Exhibit F'!J128+'Exhibit F'!J129+'Exhibit F'!J130+'Exhibit F'!J131+'Exhibit G State'!J113+'Exhibit H'!H69</f>
        <v>-3408</v>
      </c>
      <c r="J139" s="2497"/>
      <c r="K139" s="2741">
        <f>+'Exhibit F'!L128+'Exhibit F'!L129+'Exhibit F'!L130+'Exhibit F'!L131+'Exhibit G State'!L113+'Exhibit H'!J69</f>
        <v>-2996.2000000000012</v>
      </c>
      <c r="L139" s="2497"/>
      <c r="M139" s="2741">
        <f>+'Exhibit F'!N128+'Exhibit F'!N129+'Exhibit F'!N130+'Exhibit F'!N131+'Exhibit G State'!N113+'Exhibit H'!L69</f>
        <v>-5414.5999999999985</v>
      </c>
      <c r="N139" s="2497"/>
      <c r="O139" s="2741">
        <f>+'Exhibit F'!P128+'Exhibit F'!P129+'Exhibit F'!P130+'Exhibit F'!P131+'Exhibit G State'!P113+'Exhibit H'!N69</f>
        <v>-3306.4999999999995</v>
      </c>
      <c r="P139" s="2497"/>
      <c r="Q139" s="2741">
        <f>+'Exhibit F'!R128+'Exhibit F'!R129+'Exhibit F'!R130+'Exhibit F'!R131+'Exhibit G State'!R113+'Exhibit H'!P69</f>
        <v>-3559.800000000002</v>
      </c>
      <c r="R139" s="2497"/>
      <c r="S139" s="2741">
        <f>+'Exhibit F'!T128+'Exhibit F'!T129+'Exhibit F'!T130+'Exhibit F'!T131+'Exhibit G State'!T113+'Exhibit H'!R69</f>
        <v>-10350.299999999996</v>
      </c>
      <c r="T139" s="2497"/>
      <c r="U139" s="2741">
        <f>+'Exhibit F'!V128+'Exhibit F'!V129+'Exhibit F'!V130+'Exhibit F'!V131+'Exhibit G State'!V113+'Exhibit H'!T69</f>
        <v>-2070.1999999999962</v>
      </c>
      <c r="V139" s="2497"/>
      <c r="W139" s="2741"/>
      <c r="X139" s="2497"/>
      <c r="Y139" s="2741"/>
      <c r="Z139" s="2497"/>
      <c r="AA139" s="2742"/>
      <c r="AB139" s="3086">
        <f>ROUND(SUM(C139:Y139),1)</f>
        <v>-48793.8</v>
      </c>
      <c r="AC139" s="2504"/>
      <c r="AD139" s="3344"/>
      <c r="AE139" s="3086">
        <f>'Exhibit F'!AF128+'Exhibit F'!AF129+'Exhibit F'!AF130+'Exhibit F'!AF131+'Exhibit G State'!AG113+'Exhibit H'!AD69</f>
        <v>-27065.5</v>
      </c>
      <c r="AF139" s="2514"/>
      <c r="AG139" s="2514"/>
      <c r="AH139" s="3086">
        <f>ROUND(SUM(-AB139+AE139),1)</f>
        <v>21728.3</v>
      </c>
      <c r="AI139" s="3296"/>
      <c r="AJ139" s="3303">
        <f>ROUND(SUM(AH139/ABS(AE139)),3)</f>
        <v>0.80300000000000005</v>
      </c>
    </row>
    <row r="140" spans="1:59" ht="16.5" customHeight="1">
      <c r="A140" s="1424"/>
      <c r="C140" s="2723"/>
      <c r="D140" s="2497"/>
      <c r="E140" s="2723"/>
      <c r="F140" s="2497"/>
      <c r="G140" s="2723"/>
      <c r="H140" s="2497"/>
      <c r="I140" s="2723"/>
      <c r="J140" s="2497"/>
      <c r="K140" s="2723"/>
      <c r="L140" s="2497"/>
      <c r="M140" s="2723"/>
      <c r="N140" s="2497"/>
      <c r="O140" s="3085"/>
      <c r="P140" s="2497"/>
      <c r="Q140" s="2723"/>
      <c r="R140" s="2497"/>
      <c r="S140" s="2723"/>
      <c r="T140" s="2497"/>
      <c r="U140" s="2723"/>
      <c r="V140" s="2497"/>
      <c r="W140" s="2723"/>
      <c r="X140" s="2497"/>
      <c r="Y140" s="2723"/>
      <c r="Z140" s="2497"/>
      <c r="AA140" s="2742"/>
      <c r="AB140" s="3085"/>
      <c r="AC140" s="2504"/>
      <c r="AD140" s="3344"/>
      <c r="AE140" s="3085"/>
      <c r="AF140" s="2514"/>
      <c r="AG140" s="2514"/>
      <c r="AH140" s="3085"/>
      <c r="AI140" s="3296"/>
      <c r="AJ140" s="1432"/>
    </row>
    <row r="141" spans="1:59" ht="16.5" customHeight="1">
      <c r="A141" s="1989" t="s">
        <v>48</v>
      </c>
      <c r="C141" s="2735">
        <f>ROUND(SUM(C138:C139),1)</f>
        <v>-329.5</v>
      </c>
      <c r="D141" s="2743"/>
      <c r="E141" s="2735">
        <f>ROUND(SUM(E138:E139),1)</f>
        <v>-206.6</v>
      </c>
      <c r="F141" s="2743"/>
      <c r="G141" s="2735">
        <f>ROUND(SUM(G138:G139),1)</f>
        <v>-656.2</v>
      </c>
      <c r="H141" s="2743"/>
      <c r="I141" s="2735">
        <f>ROUND(SUM(I138:I139),1)</f>
        <v>44.7</v>
      </c>
      <c r="J141" s="2743"/>
      <c r="K141" s="2735">
        <f>ROUND(SUM(K138:K139),1)</f>
        <v>-520.6</v>
      </c>
      <c r="L141" s="2743"/>
      <c r="M141" s="2735">
        <f>ROUND(SUM(M138:M139),1)</f>
        <v>-63.6</v>
      </c>
      <c r="N141" s="2743"/>
      <c r="O141" s="3087">
        <f>ROUND(SUM(O138:O139),1)</f>
        <v>-152</v>
      </c>
      <c r="P141" s="2743"/>
      <c r="Q141" s="2735">
        <f>ROUND(SUM(Q138:Q139),1)</f>
        <v>-514.29999999999995</v>
      </c>
      <c r="R141" s="2743"/>
      <c r="S141" s="2735">
        <f>ROUND(SUM(S138:S139),1)</f>
        <v>-267.10000000000002</v>
      </c>
      <c r="T141" s="2743"/>
      <c r="U141" s="2735">
        <f>ROUND(SUM(U138:U139),1)</f>
        <v>-209.4</v>
      </c>
      <c r="V141" s="2743"/>
      <c r="W141" s="2735">
        <f>ROUND(SUM(W138:W139),1)</f>
        <v>0</v>
      </c>
      <c r="X141" s="2743"/>
      <c r="Y141" s="2735">
        <f>ROUND(SUM(Y138:Y139),1)</f>
        <v>0</v>
      </c>
      <c r="Z141" s="2743"/>
      <c r="AA141" s="2744"/>
      <c r="AB141" s="3087">
        <f>ROUND(SUM(AB138:AB139),1)</f>
        <v>-2874.6</v>
      </c>
      <c r="AC141" s="2509"/>
      <c r="AD141" s="3345"/>
      <c r="AE141" s="3087">
        <f>ROUND(SUM(AE138:AE139),1)</f>
        <v>-571.5</v>
      </c>
      <c r="AF141" s="3304"/>
      <c r="AG141" s="2514"/>
      <c r="AH141" s="3087">
        <f>ROUND(SUM(AH138-AH139),1)</f>
        <v>-2303.1</v>
      </c>
      <c r="AI141" s="2150"/>
      <c r="AJ141" s="2161">
        <f>ROUND(SUM(AH141/ABS(AE141)),3)</f>
        <v>-4.03</v>
      </c>
      <c r="AK141" s="2719"/>
      <c r="AL141" s="2719"/>
    </row>
    <row r="142" spans="1:59" ht="16.5" customHeight="1">
      <c r="A142" s="1821"/>
      <c r="C142" s="2497"/>
      <c r="D142" s="2497"/>
      <c r="E142" s="2497"/>
      <c r="F142" s="2497"/>
      <c r="G142" s="2497"/>
      <c r="H142" s="2497"/>
      <c r="I142" s="2497"/>
      <c r="J142" s="2497"/>
      <c r="K142" s="2497"/>
      <c r="L142" s="2497"/>
      <c r="M142" s="2497"/>
      <c r="N142" s="2497"/>
      <c r="O142" s="2504"/>
      <c r="P142" s="2497"/>
      <c r="Q142" s="2497"/>
      <c r="R142" s="2497"/>
      <c r="S142" s="2497"/>
      <c r="T142" s="2497"/>
      <c r="U142" s="2497"/>
      <c r="V142" s="2497"/>
      <c r="W142" s="2497"/>
      <c r="X142" s="2497"/>
      <c r="Y142" s="2497"/>
      <c r="Z142" s="2497"/>
      <c r="AA142" s="2742"/>
      <c r="AB142" s="2504"/>
      <c r="AC142" s="2504"/>
      <c r="AD142" s="3344"/>
      <c r="AE142" s="2504"/>
      <c r="AF142" s="2514"/>
      <c r="AG142" s="3305"/>
      <c r="AH142" s="1979"/>
      <c r="AI142" s="3296"/>
      <c r="AJ142" s="3296"/>
    </row>
    <row r="143" spans="1:59" ht="16.5" customHeight="1">
      <c r="A143" s="2150" t="s">
        <v>43</v>
      </c>
      <c r="C143" s="2723"/>
      <c r="D143" s="2497"/>
      <c r="E143" s="2723"/>
      <c r="F143" s="2497"/>
      <c r="G143" s="2723"/>
      <c r="H143" s="2497"/>
      <c r="I143" s="2723"/>
      <c r="J143" s="2497"/>
      <c r="K143" s="2723"/>
      <c r="L143" s="2497"/>
      <c r="M143" s="2723"/>
      <c r="N143" s="2497"/>
      <c r="O143" s="3085"/>
      <c r="P143" s="2497"/>
      <c r="Q143" s="2723"/>
      <c r="R143" s="2497"/>
      <c r="S143" s="2723"/>
      <c r="T143" s="2497"/>
      <c r="U143" s="2723"/>
      <c r="V143" s="2497"/>
      <c r="W143" s="2723"/>
      <c r="X143" s="2497"/>
      <c r="Y143" s="2723"/>
      <c r="Z143" s="2497"/>
      <c r="AA143" s="2742"/>
      <c r="AB143" s="3085"/>
      <c r="AC143" s="2504"/>
      <c r="AD143" s="3344"/>
      <c r="AE143" s="3085"/>
      <c r="AF143" s="2514"/>
      <c r="AG143" s="3306"/>
      <c r="AH143" s="1979"/>
      <c r="AI143" s="3296"/>
      <c r="AJ143" s="3296"/>
    </row>
    <row r="144" spans="1:59" ht="16.5" customHeight="1">
      <c r="A144" s="2150" t="s">
        <v>49</v>
      </c>
      <c r="C144" s="2733"/>
      <c r="D144" s="2743"/>
      <c r="E144" s="2733"/>
      <c r="F144" s="2743"/>
      <c r="G144" s="2733"/>
      <c r="H144" s="2743"/>
      <c r="I144" s="2733"/>
      <c r="J144" s="2743"/>
      <c r="K144" s="2733"/>
      <c r="L144" s="2743"/>
      <c r="M144" s="2733"/>
      <c r="N144" s="2743"/>
      <c r="O144" s="3342"/>
      <c r="P144" s="2743"/>
      <c r="Q144" s="2733"/>
      <c r="R144" s="2743"/>
      <c r="S144" s="2733"/>
      <c r="T144" s="2743"/>
      <c r="U144" s="2733"/>
      <c r="V144" s="2743"/>
      <c r="W144" s="2733"/>
      <c r="X144" s="2743"/>
      <c r="Y144" s="2733"/>
      <c r="Z144" s="2743"/>
      <c r="AA144" s="2744"/>
      <c r="AB144" s="3342"/>
      <c r="AC144" s="2509"/>
      <c r="AD144" s="3345"/>
      <c r="AE144" s="3342"/>
      <c r="AF144" s="2514"/>
      <c r="AG144" s="3306"/>
      <c r="AH144" s="2029"/>
      <c r="AI144" s="2150"/>
      <c r="AJ144" s="2150"/>
      <c r="AK144" s="2719"/>
      <c r="AL144" s="2719"/>
      <c r="AM144" s="2719"/>
      <c r="AN144" s="2719"/>
      <c r="AO144" s="2719"/>
      <c r="AP144" s="2719"/>
      <c r="AQ144" s="2719"/>
      <c r="AR144" s="2719"/>
      <c r="AS144" s="2719"/>
      <c r="AT144" s="2719"/>
      <c r="AU144" s="2719"/>
      <c r="AV144" s="2719"/>
      <c r="AW144" s="2719"/>
      <c r="AX144" s="2719"/>
      <c r="AY144" s="2719"/>
      <c r="AZ144" s="2719"/>
      <c r="BA144" s="2719"/>
      <c r="BB144" s="2719"/>
      <c r="BC144" s="2719"/>
      <c r="BD144" s="2719"/>
      <c r="BE144" s="2719"/>
      <c r="BF144" s="2719"/>
      <c r="BG144" s="2719"/>
    </row>
    <row r="145" spans="1:59" ht="16.5" customHeight="1">
      <c r="A145" s="2150" t="s">
        <v>50</v>
      </c>
      <c r="C145" s="2745">
        <f>ROUND(SUM(C135+C141),1)</f>
        <v>3819</v>
      </c>
      <c r="D145" s="2743"/>
      <c r="E145" s="2745">
        <f>ROUND(SUM(E135+E141),1)</f>
        <v>2200.9</v>
      </c>
      <c r="F145" s="2743"/>
      <c r="G145" s="2745">
        <f>ROUND(SUM(G135+G141),1)</f>
        <v>2140.6</v>
      </c>
      <c r="H145" s="2743"/>
      <c r="I145" s="2745">
        <f>ROUND(SUM(I135+I141),1)</f>
        <v>1101.7</v>
      </c>
      <c r="J145" s="2743"/>
      <c r="K145" s="2745">
        <f>ROUND(SUM(K135+K141),1)</f>
        <v>683.1</v>
      </c>
      <c r="L145" s="2743"/>
      <c r="M145" s="2745">
        <f>ROUND(SUM(M135+M141),1)</f>
        <v>1756.6</v>
      </c>
      <c r="N145" s="2743"/>
      <c r="O145" s="3346">
        <f>ROUND(SUM(O135+O141),1)</f>
        <v>-1394.4</v>
      </c>
      <c r="P145" s="2743"/>
      <c r="Q145" s="2745">
        <f>ROUND(SUM(Q135+Q141),1)</f>
        <v>-1064</v>
      </c>
      <c r="R145" s="2743"/>
      <c r="S145" s="2745">
        <f>ROUND(SUM(S135+S141),1)</f>
        <v>13450.6</v>
      </c>
      <c r="T145" s="2743"/>
      <c r="U145" s="2745">
        <f>ROUND(SUM(U135+U141),1)</f>
        <v>7438</v>
      </c>
      <c r="V145" s="2743"/>
      <c r="W145" s="2745">
        <f>ROUND(SUM(W135+W141),1)</f>
        <v>0</v>
      </c>
      <c r="X145" s="2743"/>
      <c r="Y145" s="2745">
        <f>ROUND(SUM(Y135+Y141),1)</f>
        <v>0</v>
      </c>
      <c r="Z145" s="2743"/>
      <c r="AA145" s="2744"/>
      <c r="AB145" s="3346">
        <f>ROUND(SUM(AB135+AB141),1)</f>
        <v>30132.1</v>
      </c>
      <c r="AC145" s="2509"/>
      <c r="AD145" s="3345"/>
      <c r="AE145" s="3346">
        <f>ROUND(SUM(AE135+AE141),1)</f>
        <v>17438.2</v>
      </c>
      <c r="AF145" s="2514"/>
      <c r="AG145" s="3306"/>
      <c r="AH145" s="3302">
        <f>ROUND(SUM(AB145-AE145),1)</f>
        <v>12693.9</v>
      </c>
      <c r="AI145" s="2150"/>
      <c r="AJ145" s="2161">
        <f>ROUND(SUM(AH145/ABS(AE145)),3)</f>
        <v>0.72799999999999998</v>
      </c>
      <c r="AK145" s="2719"/>
      <c r="AL145" s="2719"/>
      <c r="AM145" s="2719"/>
      <c r="AN145" s="2719"/>
      <c r="AO145" s="2719"/>
      <c r="AP145" s="2719"/>
      <c r="AQ145" s="2719"/>
      <c r="AR145" s="2719"/>
      <c r="AS145" s="2719"/>
      <c r="AT145" s="2719"/>
      <c r="AU145" s="2719"/>
      <c r="AV145" s="2719"/>
      <c r="AW145" s="2719"/>
      <c r="AX145" s="2719"/>
      <c r="AY145" s="2719"/>
      <c r="AZ145" s="2719"/>
      <c r="BA145" s="2719"/>
      <c r="BB145" s="2719"/>
      <c r="BC145" s="2719"/>
      <c r="BD145" s="2719"/>
      <c r="BE145" s="2719"/>
      <c r="BF145" s="2719"/>
      <c r="BG145" s="2719"/>
    </row>
    <row r="146" spans="1:59" ht="15.6">
      <c r="A146" s="1989"/>
      <c r="C146" s="2713"/>
      <c r="E146" s="2713"/>
      <c r="G146" s="2713"/>
      <c r="I146" s="2713"/>
      <c r="K146" s="2713"/>
      <c r="M146" s="2713"/>
      <c r="O146" s="3331"/>
      <c r="Q146" s="2713"/>
      <c r="S146" s="2713"/>
      <c r="U146" s="2713"/>
      <c r="W146" s="2713"/>
      <c r="Y146" s="2713"/>
      <c r="AA146" s="2747"/>
      <c r="AB146" s="3331"/>
      <c r="AD146" s="3347"/>
      <c r="AE146" s="3772"/>
      <c r="AF146" s="2514"/>
      <c r="AG146" s="3306"/>
      <c r="AH146" s="3296"/>
      <c r="AI146" s="3296"/>
      <c r="AJ146" s="3296"/>
    </row>
    <row r="147" spans="1:59" ht="16.2" thickBot="1">
      <c r="A147" s="2748" t="s">
        <v>140</v>
      </c>
      <c r="C147" s="2749">
        <f>ROUND(SUM(C16+C145),1)</f>
        <v>18753.400000000001</v>
      </c>
      <c r="D147" s="2750"/>
      <c r="E147" s="2749">
        <f>ROUND(SUM(E16+E145),1)</f>
        <v>20954.3</v>
      </c>
      <c r="F147" s="2750"/>
      <c r="G147" s="2749">
        <f>ROUND(SUM(G16+G145),1)</f>
        <v>23094.9</v>
      </c>
      <c r="H147" s="2750"/>
      <c r="I147" s="2749">
        <f>ROUND(SUM(I16+I145),1)</f>
        <v>24196.6</v>
      </c>
      <c r="J147" s="2751"/>
      <c r="K147" s="2749">
        <f>ROUND(SUM(K16+K145),1)</f>
        <v>24879.7</v>
      </c>
      <c r="L147" s="2751"/>
      <c r="M147" s="2749">
        <f>ROUND(SUM(M16+M145),1)</f>
        <v>26636.3</v>
      </c>
      <c r="N147" s="2751"/>
      <c r="O147" s="3088">
        <f>ROUND(SUM(O16+O145),1)</f>
        <v>25241.9</v>
      </c>
      <c r="P147" s="2751"/>
      <c r="Q147" s="2749">
        <f>ROUND(SUM(Q16+Q145),1)</f>
        <v>24177.9</v>
      </c>
      <c r="R147" s="2751"/>
      <c r="S147" s="2749">
        <f>ROUND(SUM(S16+S145),1)</f>
        <v>37628.5</v>
      </c>
      <c r="T147" s="2751"/>
      <c r="U147" s="2749">
        <f>ROUND(SUM(U16+U145),1)</f>
        <v>45066.5</v>
      </c>
      <c r="V147" s="2751"/>
      <c r="W147" s="2749">
        <f>ROUND(SUM(W16+W145),1)</f>
        <v>0</v>
      </c>
      <c r="X147" s="2751"/>
      <c r="Y147" s="2749">
        <f>ROUND(SUM(Y16+Y145),1)</f>
        <v>0</v>
      </c>
      <c r="Z147" s="2750"/>
      <c r="AA147" s="2746"/>
      <c r="AB147" s="3088">
        <f>ROUND(SUM(AB16+AB145),1)</f>
        <v>45066.5</v>
      </c>
      <c r="AC147" s="3348"/>
      <c r="AD147" s="3307"/>
      <c r="AE147" s="3088">
        <f>ROUND(SUM(AE16+AE145),1)</f>
        <v>31846.5</v>
      </c>
      <c r="AF147" s="2514"/>
      <c r="AG147" s="3306"/>
      <c r="AH147" s="3088">
        <f>ROUND(SUM(AB147-AE147),1)</f>
        <v>13220</v>
      </c>
      <c r="AI147" s="2150"/>
      <c r="AJ147" s="3308">
        <f>ROUND(SUM(AH147/ABS(AE147)),3)</f>
        <v>0.41499999999999998</v>
      </c>
      <c r="AK147" s="2719"/>
    </row>
    <row r="148" spans="1:59" ht="16.2" thickTop="1">
      <c r="A148" s="2752"/>
      <c r="C148" s="2731"/>
      <c r="AH148" s="3296"/>
      <c r="AI148" s="3296"/>
      <c r="AJ148" s="3296"/>
    </row>
    <row r="149" spans="1:59" ht="15">
      <c r="A149" s="2233" t="s">
        <v>1072</v>
      </c>
      <c r="O149" s="1969" t="s">
        <v>14</v>
      </c>
      <c r="AH149" s="3296"/>
      <c r="AI149" s="3296"/>
      <c r="AJ149" s="3296"/>
    </row>
    <row r="150" spans="1:59" ht="15">
      <c r="A150" s="2233" t="s">
        <v>1547</v>
      </c>
      <c r="AB150" s="1969" t="s">
        <v>14</v>
      </c>
      <c r="AH150" s="3296"/>
      <c r="AI150" s="3296"/>
      <c r="AJ150" s="3296"/>
    </row>
    <row r="151" spans="1:59" ht="15">
      <c r="A151" s="2753" t="s">
        <v>1546</v>
      </c>
      <c r="AB151" s="1969" t="s">
        <v>14</v>
      </c>
      <c r="AH151" s="3296"/>
      <c r="AI151" s="3296"/>
      <c r="AJ151" s="3296"/>
    </row>
    <row r="152" spans="1:59" ht="16.5" customHeight="1">
      <c r="A152" s="2707" t="s">
        <v>1551</v>
      </c>
      <c r="AH152" s="3296"/>
      <c r="AI152" s="3296"/>
      <c r="AJ152" s="3296"/>
    </row>
    <row r="153" spans="1:59" ht="16.5" customHeight="1">
      <c r="AH153" s="3296"/>
      <c r="AI153" s="3296"/>
      <c r="AJ153" s="3296"/>
    </row>
    <row r="154" spans="1:59" ht="16.5" customHeight="1">
      <c r="AH154" s="3296"/>
      <c r="AI154" s="3296"/>
      <c r="AJ154" s="3296"/>
    </row>
    <row r="155" spans="1:59" ht="16.5" customHeight="1">
      <c r="AH155" s="3296"/>
      <c r="AI155" s="3296"/>
      <c r="AJ155" s="3296"/>
    </row>
    <row r="156" spans="1:59" ht="16.5" customHeight="1">
      <c r="AH156" s="3296"/>
      <c r="AI156" s="3296"/>
      <c r="AJ156" s="3296"/>
    </row>
    <row r="157" spans="1:59" ht="16.5" customHeight="1">
      <c r="AH157" s="3296"/>
      <c r="AI157" s="3296"/>
      <c r="AJ157" s="3296"/>
    </row>
    <row r="158" spans="1:59" ht="16.5" customHeight="1">
      <c r="AH158" s="3296"/>
      <c r="AI158" s="3296"/>
      <c r="AJ158" s="3296"/>
    </row>
    <row r="159" spans="1:59" ht="16.5" customHeight="1">
      <c r="AH159" s="3296"/>
      <c r="AI159" s="3296"/>
      <c r="AJ159" s="3296"/>
    </row>
    <row r="160" spans="1:59" ht="16.5" customHeight="1">
      <c r="AH160" s="3296"/>
      <c r="AI160" s="3296"/>
      <c r="AJ160" s="3296"/>
    </row>
    <row r="161" spans="34:36" ht="16.5" customHeight="1">
      <c r="AH161" s="3296"/>
      <c r="AI161" s="3296"/>
      <c r="AJ161" s="3296"/>
    </row>
    <row r="162" spans="34:36" ht="16.5" customHeight="1">
      <c r="AH162" s="3296"/>
      <c r="AI162" s="3296"/>
      <c r="AJ162" s="3296"/>
    </row>
    <row r="163" spans="34:36" ht="16.5" customHeight="1">
      <c r="AH163" s="3296"/>
      <c r="AI163" s="3296"/>
      <c r="AJ163" s="3296"/>
    </row>
    <row r="164" spans="34:36" ht="16.5" customHeight="1">
      <c r="AH164" s="3296"/>
      <c r="AI164" s="3296"/>
      <c r="AJ164" s="3296"/>
    </row>
    <row r="165" spans="34:36" ht="16.5" customHeight="1">
      <c r="AH165" s="3296"/>
      <c r="AI165" s="3296"/>
      <c r="AJ165" s="3296"/>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J81 AJ47 AJ33 AB26 AH24"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4"/>
  <sheetViews>
    <sheetView showGridLines="0" zoomScale="80" zoomScaleNormal="69" workbookViewId="0"/>
  </sheetViews>
  <sheetFormatPr defaultColWidth="8.81640625" defaultRowHeight="13.2"/>
  <cols>
    <col min="1" max="1" width="2.54296875" style="2372" customWidth="1"/>
    <col min="2" max="2" width="48.54296875" style="2372" customWidth="1"/>
    <col min="3" max="3" width="1.08984375" style="2372" customWidth="1"/>
    <col min="4" max="4" width="12.453125" style="2372" bestFit="1" customWidth="1"/>
    <col min="5" max="5" width="1.81640625" style="2372" customWidth="1"/>
    <col min="6" max="6" width="12.81640625" style="2372" bestFit="1" customWidth="1"/>
    <col min="7" max="7" width="1.81640625" style="2372" customWidth="1"/>
    <col min="8" max="8" width="12.81640625" style="2372" bestFit="1" customWidth="1"/>
    <col min="9" max="9" width="1.81640625" style="2372" customWidth="1"/>
    <col min="10" max="10" width="13.81640625" style="2373" customWidth="1"/>
    <col min="11" max="11" width="1.81640625" style="2372" customWidth="1"/>
    <col min="12" max="12" width="12.81640625" style="2372" bestFit="1" customWidth="1"/>
    <col min="13" max="13" width="1.81640625" style="2372" customWidth="1"/>
    <col min="14" max="14" width="13.81640625" style="2372" customWidth="1"/>
    <col min="15" max="15" width="1.81640625" style="2372" customWidth="1"/>
    <col min="16" max="16" width="12.81640625" style="2374" bestFit="1" customWidth="1"/>
    <col min="17" max="17" width="1.81640625" style="2372" customWidth="1"/>
    <col min="18" max="18" width="12.08984375" style="2372" customWidth="1"/>
    <col min="19" max="19" width="1.81640625" style="2372" customWidth="1"/>
    <col min="20" max="20" width="14.81640625" style="2372" customWidth="1"/>
    <col min="21" max="21" width="1.81640625" style="2372" customWidth="1"/>
    <col min="22" max="22" width="12.08984375" style="2372" customWidth="1"/>
    <col min="23" max="23" width="1.81640625" style="2372" customWidth="1"/>
    <col min="24" max="24" width="12.81640625" style="2372" customWidth="1"/>
    <col min="25" max="25" width="1.81640625" style="2372" customWidth="1"/>
    <col min="26" max="26" width="14.54296875" style="2372" customWidth="1"/>
    <col min="27" max="27" width="1.54296875" style="2372" customWidth="1"/>
    <col min="28" max="28" width="1.81640625" style="2372" customWidth="1"/>
    <col min="29" max="29" width="13.08984375" style="2374" customWidth="1"/>
    <col min="30" max="30" width="1.453125" style="2374" customWidth="1"/>
    <col min="31" max="31" width="1.08984375" style="2374" customWidth="1"/>
    <col min="32" max="32" width="15.08984375" style="2374" customWidth="1"/>
    <col min="33" max="33" width="1" style="2372" customWidth="1"/>
    <col min="34" max="34" width="1.08984375" style="2372" customWidth="1"/>
    <col min="35" max="35" width="13.08984375" style="2372" bestFit="1" customWidth="1"/>
    <col min="36" max="36" width="1" style="2375" customWidth="1"/>
    <col min="37" max="37" width="13.81640625" style="2376" bestFit="1" customWidth="1"/>
    <col min="38" max="38" width="10.08984375" style="2372" customWidth="1"/>
    <col min="39" max="16384" width="8.81640625" style="2372"/>
  </cols>
  <sheetData>
    <row r="1" spans="1:37" ht="15">
      <c r="B1" s="2210" t="s">
        <v>881</v>
      </c>
    </row>
    <row r="2" spans="1:37">
      <c r="A2" s="2377"/>
      <c r="B2" s="2004"/>
      <c r="C2" s="2004"/>
      <c r="D2" s="2004"/>
      <c r="E2" s="2004"/>
      <c r="F2" s="2004"/>
      <c r="G2" s="2004"/>
      <c r="H2" s="2004"/>
      <c r="I2" s="2004"/>
      <c r="J2" s="2378"/>
      <c r="K2" s="2004"/>
      <c r="L2" s="2004"/>
      <c r="M2" s="2004"/>
      <c r="N2" s="2004"/>
      <c r="O2" s="2004"/>
      <c r="P2" s="2170"/>
      <c r="Q2" s="2004"/>
      <c r="R2" s="2004"/>
      <c r="S2" s="2004"/>
      <c r="T2" s="2004"/>
      <c r="U2" s="2004"/>
      <c r="V2" s="2004"/>
      <c r="W2" s="2004"/>
      <c r="X2" s="2004"/>
      <c r="Y2" s="2004"/>
      <c r="Z2" s="2004"/>
      <c r="AA2" s="2004"/>
      <c r="AB2" s="2004"/>
      <c r="AC2" s="2170"/>
      <c r="AD2" s="2170"/>
      <c r="AE2" s="2170"/>
      <c r="AF2" s="2170"/>
      <c r="AG2" s="2004"/>
      <c r="AH2" s="2379"/>
    </row>
    <row r="3" spans="1:37" ht="17.399999999999999">
      <c r="A3" s="2377"/>
      <c r="B3" s="2380" t="s">
        <v>0</v>
      </c>
      <c r="C3" s="2004"/>
      <c r="D3" s="2004"/>
      <c r="E3" s="2004"/>
      <c r="F3" s="2381"/>
      <c r="G3" s="2004"/>
      <c r="H3" s="2004"/>
      <c r="I3" s="2004"/>
      <c r="J3" s="2378"/>
      <c r="K3" s="2004"/>
      <c r="L3" s="2004"/>
      <c r="M3" s="2382"/>
      <c r="N3" s="2383"/>
      <c r="O3" s="2004"/>
      <c r="P3" s="2170"/>
      <c r="Q3" s="2004"/>
      <c r="R3" s="2004"/>
      <c r="S3" s="2004"/>
      <c r="T3" s="2004"/>
      <c r="U3" s="2004"/>
      <c r="V3" s="2004"/>
      <c r="W3" s="2004"/>
      <c r="X3" s="2004"/>
      <c r="Y3" s="2004"/>
      <c r="Z3" s="2004"/>
      <c r="AA3" s="2004"/>
      <c r="AB3" s="2004"/>
      <c r="AC3" s="2170"/>
      <c r="AD3" s="2170"/>
      <c r="AE3" s="2170"/>
      <c r="AF3" s="2170"/>
      <c r="AG3" s="2004"/>
      <c r="AH3" s="2379"/>
      <c r="AK3" s="2384" t="s">
        <v>146</v>
      </c>
    </row>
    <row r="4" spans="1:37" ht="17.399999999999999">
      <c r="A4" s="2377"/>
      <c r="B4" s="2385" t="s">
        <v>145</v>
      </c>
      <c r="C4" s="2004"/>
      <c r="D4" s="2004"/>
      <c r="E4" s="2004"/>
      <c r="F4" s="2381"/>
      <c r="G4" s="2004"/>
      <c r="H4" s="2004" t="s">
        <v>14</v>
      </c>
      <c r="I4" s="2004"/>
      <c r="J4" s="2378"/>
      <c r="K4" s="2004"/>
      <c r="L4" s="2004"/>
      <c r="M4" s="2382"/>
      <c r="N4" s="2383"/>
      <c r="O4" s="2004"/>
      <c r="P4" s="2170"/>
      <c r="Q4" s="2004"/>
      <c r="R4" s="2004"/>
      <c r="S4" s="2004"/>
      <c r="T4" s="2004"/>
      <c r="U4" s="2004"/>
      <c r="V4" s="2004"/>
      <c r="W4" s="2004"/>
      <c r="X4" s="2004"/>
      <c r="Y4" s="2004"/>
      <c r="Z4" s="2004"/>
      <c r="AA4" s="2004"/>
      <c r="AB4" s="2004"/>
      <c r="AC4" s="3089"/>
      <c r="AD4" s="3089"/>
      <c r="AE4" s="3089"/>
      <c r="AF4" s="3419"/>
      <c r="AG4" s="2386"/>
      <c r="AH4" s="2379"/>
    </row>
    <row r="5" spans="1:37" ht="17.399999999999999">
      <c r="A5" s="2377"/>
      <c r="B5" s="2385" t="s">
        <v>147</v>
      </c>
      <c r="C5" s="2004"/>
      <c r="D5" s="2004"/>
      <c r="E5" s="2004"/>
      <c r="F5" s="2381"/>
      <c r="G5" s="2004"/>
      <c r="H5" s="2004"/>
      <c r="I5" s="2004"/>
      <c r="J5" s="2378"/>
      <c r="K5" s="2004"/>
      <c r="L5" s="2004"/>
      <c r="M5" s="2382"/>
      <c r="N5" s="2383"/>
      <c r="O5" s="2004"/>
      <c r="P5" s="2170"/>
      <c r="Q5" s="2004"/>
      <c r="R5" s="2004"/>
      <c r="S5" s="2004"/>
      <c r="T5" s="2004"/>
      <c r="U5" s="2004"/>
      <c r="V5" s="2004"/>
      <c r="W5" s="2004"/>
      <c r="X5" s="2004"/>
      <c r="Y5" s="2004"/>
      <c r="Z5" s="2004"/>
      <c r="AA5" s="2004"/>
      <c r="AB5" s="2004"/>
      <c r="AD5" s="3090"/>
      <c r="AE5" s="3090"/>
      <c r="AH5" s="2379"/>
    </row>
    <row r="6" spans="1:37" ht="18" customHeight="1">
      <c r="A6" s="2377"/>
      <c r="B6" s="2387" t="str">
        <f>'Cashflow Governmental'!A6</f>
        <v xml:space="preserve">FISCAL YEAR 2021-2022   </v>
      </c>
      <c r="C6" s="2004"/>
      <c r="D6" s="2004"/>
      <c r="E6" s="2004"/>
      <c r="F6" s="2381"/>
      <c r="G6" s="2004"/>
      <c r="H6" s="2004"/>
      <c r="I6" s="2004"/>
      <c r="J6" s="2378"/>
      <c r="K6" s="2004"/>
      <c r="L6" s="2004"/>
      <c r="M6" s="2382"/>
      <c r="N6" s="2383"/>
      <c r="O6" s="2004"/>
      <c r="P6" s="2170"/>
      <c r="Q6" s="2004"/>
      <c r="R6" s="2004"/>
      <c r="S6" s="2004"/>
      <c r="T6" s="2004"/>
      <c r="U6" s="2004"/>
      <c r="V6" s="2004"/>
      <c r="W6" s="2004"/>
      <c r="X6" s="2004"/>
      <c r="Y6" s="2004"/>
      <c r="Z6" s="2004"/>
      <c r="AA6" s="2004"/>
      <c r="AB6" s="2004"/>
      <c r="AC6" s="2170"/>
      <c r="AD6" s="2170"/>
      <c r="AE6" s="2170"/>
      <c r="AF6" s="2170"/>
      <c r="AG6" s="2004"/>
      <c r="AH6" s="2379"/>
    </row>
    <row r="7" spans="1:37" ht="15" customHeight="1">
      <c r="A7" s="2377"/>
      <c r="B7" s="2385" t="s">
        <v>1263</v>
      </c>
      <c r="C7" s="2004"/>
      <c r="D7" s="2004"/>
      <c r="E7" s="2004"/>
      <c r="F7" s="2381"/>
      <c r="G7" s="2004"/>
      <c r="H7" s="2004"/>
      <c r="I7" s="2004"/>
      <c r="J7" s="2378"/>
      <c r="K7" s="2004"/>
      <c r="L7" s="2383"/>
      <c r="M7" s="2382"/>
      <c r="N7" s="2004"/>
      <c r="O7" s="2004"/>
      <c r="P7" s="3025"/>
      <c r="Q7" s="2004"/>
      <c r="R7" s="2004"/>
      <c r="S7" s="2004"/>
      <c r="T7" s="2004"/>
      <c r="U7" s="2004"/>
      <c r="V7" s="2004"/>
      <c r="W7" s="2004"/>
      <c r="X7" s="2004"/>
      <c r="Y7" s="2004"/>
      <c r="Z7" s="2004"/>
      <c r="AA7" s="2004"/>
      <c r="AB7" s="2004"/>
      <c r="AC7" s="2170"/>
      <c r="AD7" s="2170"/>
      <c r="AE7" s="2170"/>
      <c r="AF7" s="2170"/>
      <c r="AG7" s="2004"/>
      <c r="AH7" s="2379"/>
    </row>
    <row r="8" spans="1:37" ht="15.6">
      <c r="A8" s="2377"/>
      <c r="B8" s="2004"/>
      <c r="C8" s="2004"/>
      <c r="D8" s="2004"/>
      <c r="E8" s="2004"/>
      <c r="F8" s="2381"/>
      <c r="G8" s="2004"/>
      <c r="H8" s="2004"/>
      <c r="I8" s="2004"/>
      <c r="J8" s="2378"/>
      <c r="K8" s="2004"/>
      <c r="L8" s="2004"/>
      <c r="M8" s="2004"/>
      <c r="N8" s="2004"/>
      <c r="O8" s="2004"/>
      <c r="P8" s="2170"/>
      <c r="Q8" s="2004"/>
      <c r="R8" s="2004"/>
      <c r="S8" s="2004"/>
      <c r="T8" s="2004"/>
      <c r="U8" s="2004"/>
      <c r="V8" s="2004"/>
      <c r="W8" s="2004"/>
      <c r="X8" s="2004"/>
      <c r="Y8" s="2004"/>
      <c r="Z8" s="2004"/>
      <c r="AA8" s="2004"/>
      <c r="AB8" s="3976" t="str">
        <f>+'Cashflow Governmental'!AB12:AJ12</f>
        <v>10 Months Ended January 31</v>
      </c>
      <c r="AC8" s="3976"/>
      <c r="AD8" s="3976"/>
      <c r="AE8" s="3976"/>
      <c r="AF8" s="3976"/>
      <c r="AG8" s="3976"/>
      <c r="AH8" s="3976"/>
      <c r="AI8" s="3976"/>
      <c r="AJ8" s="3976"/>
      <c r="AK8" s="3976"/>
    </row>
    <row r="9" spans="1:37" ht="15" customHeight="1">
      <c r="A9" s="2377"/>
      <c r="B9" s="2001"/>
      <c r="C9" s="2001"/>
      <c r="D9" s="2388" t="str">
        <f>'Cashflow Governmental'!C13</f>
        <v>2021</v>
      </c>
      <c r="E9" s="2389"/>
      <c r="F9" s="2389"/>
      <c r="G9" s="2389"/>
      <c r="H9" s="2389"/>
      <c r="I9" s="2389"/>
      <c r="J9" s="2389"/>
      <c r="K9" s="2389"/>
      <c r="L9" s="2389"/>
      <c r="M9" s="2389"/>
      <c r="N9" s="2389"/>
      <c r="O9" s="2389"/>
      <c r="P9" s="3026"/>
      <c r="Q9" s="2389"/>
      <c r="R9" s="2389"/>
      <c r="S9" s="2389"/>
      <c r="T9" s="2389"/>
      <c r="U9" s="2389"/>
      <c r="V9" s="2388">
        <f>'Cashflow Governmental'!U13</f>
        <v>2022</v>
      </c>
      <c r="W9" s="2389"/>
      <c r="X9" s="2389"/>
      <c r="Y9" s="2389"/>
      <c r="Z9" s="2389"/>
      <c r="AA9" s="2383"/>
      <c r="AB9" s="2382"/>
      <c r="AC9" s="2392"/>
      <c r="AD9" s="1830"/>
      <c r="AE9" s="1830"/>
      <c r="AF9" s="2392"/>
      <c r="AG9" s="2390"/>
      <c r="AH9" s="2393"/>
      <c r="AI9" s="2394" t="s">
        <v>7</v>
      </c>
      <c r="AJ9" s="2390"/>
      <c r="AK9" s="2395" t="s">
        <v>8</v>
      </c>
    </row>
    <row r="10" spans="1:37" ht="15" customHeight="1">
      <c r="A10" s="2377"/>
      <c r="B10" s="2001"/>
      <c r="C10" s="2001"/>
      <c r="D10" s="2396" t="s">
        <v>123</v>
      </c>
      <c r="E10" s="2382"/>
      <c r="F10" s="2397" t="s">
        <v>124</v>
      </c>
      <c r="G10" s="2382"/>
      <c r="H10" s="2397" t="s">
        <v>125</v>
      </c>
      <c r="I10" s="2382"/>
      <c r="J10" s="2398" t="s">
        <v>126</v>
      </c>
      <c r="K10" s="2382"/>
      <c r="L10" s="2399" t="s">
        <v>127</v>
      </c>
      <c r="M10" s="2382"/>
      <c r="N10" s="2399" t="s">
        <v>142</v>
      </c>
      <c r="O10" s="2382"/>
      <c r="P10" s="2543" t="s">
        <v>143</v>
      </c>
      <c r="Q10" s="2382"/>
      <c r="R10" s="2399" t="s">
        <v>130</v>
      </c>
      <c r="S10" s="2382"/>
      <c r="T10" s="2399" t="s">
        <v>131</v>
      </c>
      <c r="U10" s="2382"/>
      <c r="V10" s="2399" t="s">
        <v>132</v>
      </c>
      <c r="W10" s="2382"/>
      <c r="X10" s="2399" t="s">
        <v>133</v>
      </c>
      <c r="Y10" s="2382"/>
      <c r="Z10" s="2399" t="s">
        <v>184</v>
      </c>
      <c r="AA10" s="2395"/>
      <c r="AB10" s="2382"/>
      <c r="AC10" s="3091">
        <f>'Cashflow Governmental'!AB14</f>
        <v>2022</v>
      </c>
      <c r="AD10" s="2507" t="s">
        <v>14</v>
      </c>
      <c r="AE10" s="2507"/>
      <c r="AF10" s="3091">
        <f>'Cashflow Governmental'!AE14</f>
        <v>2021</v>
      </c>
      <c r="AG10" s="2400"/>
      <c r="AH10" s="2393"/>
      <c r="AI10" s="2401" t="s">
        <v>11</v>
      </c>
      <c r="AJ10" s="2383"/>
      <c r="AK10" s="2402" t="s">
        <v>12</v>
      </c>
    </row>
    <row r="11" spans="1:37" ht="5.25" customHeight="1">
      <c r="A11" s="2377"/>
      <c r="B11" s="2001"/>
      <c r="C11" s="2001"/>
      <c r="D11" s="2403" t="s">
        <v>14</v>
      </c>
      <c r="E11" s="2001"/>
      <c r="F11" s="2404"/>
      <c r="G11" s="2001"/>
      <c r="H11" s="2403"/>
      <c r="I11" s="2001"/>
      <c r="J11" s="2030"/>
      <c r="K11" s="2001"/>
      <c r="L11" s="2403"/>
      <c r="M11" s="2001"/>
      <c r="N11" s="2403"/>
      <c r="O11" s="2001"/>
      <c r="P11" s="2996"/>
      <c r="Q11" s="2001"/>
      <c r="R11" s="2403"/>
      <c r="S11" s="2001"/>
      <c r="T11" s="2403"/>
      <c r="U11" s="2001"/>
      <c r="V11" s="2403"/>
      <c r="W11" s="2001"/>
      <c r="X11" s="2403"/>
      <c r="Y11" s="2001"/>
      <c r="Z11" s="2403"/>
      <c r="AA11" s="2000"/>
      <c r="AB11" s="2001"/>
      <c r="AC11" s="2162"/>
      <c r="AD11" s="2163"/>
      <c r="AE11" s="2163"/>
      <c r="AF11" s="2162"/>
      <c r="AG11" s="2000"/>
      <c r="AH11" s="2405"/>
    </row>
    <row r="12" spans="1:37" ht="15" customHeight="1">
      <c r="A12" s="2406"/>
      <c r="B12" s="2407" t="s">
        <v>135</v>
      </c>
      <c r="C12" s="2023"/>
      <c r="D12" s="2408">
        <v>9160.7999999999993</v>
      </c>
      <c r="E12" s="2409"/>
      <c r="F12" s="2410">
        <f>D140</f>
        <v>12217.6</v>
      </c>
      <c r="G12" s="2409"/>
      <c r="H12" s="2410">
        <f>F140</f>
        <v>14356.5</v>
      </c>
      <c r="I12" s="2409"/>
      <c r="J12" s="2410">
        <f>H140</f>
        <v>15464.4</v>
      </c>
      <c r="K12" s="2409"/>
      <c r="L12" s="2410">
        <f>J140</f>
        <v>15601.1</v>
      </c>
      <c r="M12" s="2409"/>
      <c r="N12" s="2410">
        <f>L140</f>
        <v>15789.3</v>
      </c>
      <c r="O12" s="2409"/>
      <c r="P12" s="2410">
        <f>N140</f>
        <v>19953.7</v>
      </c>
      <c r="Q12" s="2409"/>
      <c r="R12" s="2410">
        <f>P140</f>
        <v>18118.8</v>
      </c>
      <c r="S12" s="2409"/>
      <c r="T12" s="2410">
        <f>R140</f>
        <v>17184.8</v>
      </c>
      <c r="U12" s="2409"/>
      <c r="V12" s="2410">
        <f>T140</f>
        <v>30659.7</v>
      </c>
      <c r="W12" s="2410"/>
      <c r="X12" s="2410"/>
      <c r="Y12" s="2409"/>
      <c r="Z12" s="2410"/>
      <c r="AA12" s="2409"/>
      <c r="AB12" s="2411"/>
      <c r="AC12" s="2008">
        <f>D12</f>
        <v>9160.7999999999993</v>
      </c>
      <c r="AD12" s="2412"/>
      <c r="AE12" s="3092"/>
      <c r="AF12" s="3405">
        <v>8944.2000000000007</v>
      </c>
      <c r="AG12" s="2409"/>
      <c r="AH12" s="2413"/>
      <c r="AI12" s="2410">
        <f>ROUND(SUM(+AC12-AF12),1)</f>
        <v>216.6</v>
      </c>
      <c r="AJ12" s="2414"/>
      <c r="AK12" s="1415">
        <f>ROUND(IF(AF12=0,0,AI12/ABS(AF12)),3)</f>
        <v>2.4E-2</v>
      </c>
    </row>
    <row r="13" spans="1:37" ht="15" customHeight="1">
      <c r="A13" s="2406"/>
      <c r="B13" s="2023"/>
      <c r="C13" s="2023"/>
      <c r="D13" s="2023"/>
      <c r="E13" s="2023"/>
      <c r="F13" s="2415"/>
      <c r="G13" s="2023"/>
      <c r="H13" s="2415"/>
      <c r="I13" s="2023"/>
      <c r="J13" s="1974"/>
      <c r="K13" s="2023"/>
      <c r="L13" s="2415"/>
      <c r="M13" s="2023"/>
      <c r="N13" s="2001"/>
      <c r="O13" s="2023"/>
      <c r="P13" s="2163"/>
      <c r="Q13" s="2023"/>
      <c r="R13" s="2001"/>
      <c r="S13" s="2023"/>
      <c r="T13" s="2001"/>
      <c r="U13" s="2023"/>
      <c r="V13" s="2001"/>
      <c r="W13" s="2023"/>
      <c r="X13" s="2001"/>
      <c r="Y13" s="2023"/>
      <c r="Z13" s="2001"/>
      <c r="AA13" s="2001"/>
      <c r="AB13" s="2022"/>
      <c r="AC13" s="2163"/>
      <c r="AD13" s="2420"/>
      <c r="AE13" s="3093"/>
      <c r="AF13" s="2163"/>
      <c r="AG13" s="2001"/>
      <c r="AH13" s="2405"/>
      <c r="AI13" s="2004"/>
      <c r="AJ13" s="2416"/>
      <c r="AK13" s="1433"/>
    </row>
    <row r="14" spans="1:37" ht="15" customHeight="1">
      <c r="A14" s="2406"/>
      <c r="B14" s="2382" t="s">
        <v>13</v>
      </c>
      <c r="C14" s="2023"/>
      <c r="D14" s="2023"/>
      <c r="E14" s="2023"/>
      <c r="F14" s="2001"/>
      <c r="G14" s="2023"/>
      <c r="H14" s="2001"/>
      <c r="I14" s="2023"/>
      <c r="J14" s="1974"/>
      <c r="K14" s="2023"/>
      <c r="L14" s="2001"/>
      <c r="M14" s="2023"/>
      <c r="N14" s="2001"/>
      <c r="O14" s="2023"/>
      <c r="P14" s="2163"/>
      <c r="Q14" s="2023"/>
      <c r="R14" s="2001"/>
      <c r="S14" s="2023"/>
      <c r="T14" s="2001"/>
      <c r="U14" s="2023"/>
      <c r="V14" s="2001"/>
      <c r="W14" s="2023"/>
      <c r="X14" s="2001"/>
      <c r="Y14" s="2023"/>
      <c r="Z14" s="2001"/>
      <c r="AA14" s="2001"/>
      <c r="AB14" s="2022"/>
      <c r="AC14" s="2163"/>
      <c r="AD14" s="2420"/>
      <c r="AE14" s="3093"/>
      <c r="AF14" s="2163"/>
      <c r="AG14" s="2001"/>
      <c r="AH14" s="2405"/>
      <c r="AI14" s="2004"/>
      <c r="AJ14" s="2416"/>
      <c r="AK14" s="1433"/>
    </row>
    <row r="15" spans="1:37" ht="15" customHeight="1">
      <c r="A15" s="2406"/>
      <c r="B15" s="2417" t="s">
        <v>991</v>
      </c>
      <c r="C15" s="2023"/>
      <c r="D15" s="2023"/>
      <c r="E15" s="2023"/>
      <c r="F15" s="2001"/>
      <c r="G15" s="2023"/>
      <c r="H15" s="2001"/>
      <c r="I15" s="2023"/>
      <c r="J15" s="1974"/>
      <c r="K15" s="2023"/>
      <c r="L15" s="2001"/>
      <c r="M15" s="2023"/>
      <c r="N15" s="2001"/>
      <c r="O15" s="2023"/>
      <c r="P15" s="2163"/>
      <c r="Q15" s="2023"/>
      <c r="R15" s="2001"/>
      <c r="S15" s="2023"/>
      <c r="T15" s="2001"/>
      <c r="U15" s="2023"/>
      <c r="V15" s="2001"/>
      <c r="W15" s="2023"/>
      <c r="X15" s="2001"/>
      <c r="Y15" s="2023"/>
      <c r="Z15" s="2001"/>
      <c r="AA15" s="2001"/>
      <c r="AB15" s="2022"/>
      <c r="AC15" s="2163"/>
      <c r="AD15" s="2420"/>
      <c r="AE15" s="3093"/>
      <c r="AF15" s="2163"/>
      <c r="AG15" s="2001"/>
      <c r="AH15" s="2405"/>
      <c r="AI15" s="2004"/>
      <c r="AJ15" s="2416"/>
      <c r="AK15" s="1433"/>
    </row>
    <row r="16" spans="1:37" ht="15" customHeight="1">
      <c r="A16" s="2406"/>
      <c r="B16" s="2418" t="s">
        <v>1053</v>
      </c>
      <c r="C16" s="2023"/>
      <c r="D16" s="2023"/>
      <c r="E16" s="2023"/>
      <c r="F16" s="2001"/>
      <c r="G16" s="2023"/>
      <c r="H16" s="2001"/>
      <c r="I16" s="2023"/>
      <c r="J16" s="1974"/>
      <c r="K16" s="2023"/>
      <c r="L16" s="2001"/>
      <c r="M16" s="2023"/>
      <c r="N16" s="2001"/>
      <c r="O16" s="2023"/>
      <c r="P16" s="2163"/>
      <c r="Q16" s="2023"/>
      <c r="R16" s="2001"/>
      <c r="S16" s="2023"/>
      <c r="T16" s="2001"/>
      <c r="U16" s="2023"/>
      <c r="V16" s="2001"/>
      <c r="W16" s="2023"/>
      <c r="X16" s="2001"/>
      <c r="Y16" s="2023"/>
      <c r="Z16" s="2001"/>
      <c r="AA16" s="2001"/>
      <c r="AB16" s="2022"/>
      <c r="AC16" s="2163"/>
      <c r="AD16" s="2420"/>
      <c r="AE16" s="3093"/>
      <c r="AF16" s="2163"/>
      <c r="AG16" s="2001"/>
      <c r="AH16" s="2405"/>
      <c r="AI16" s="2004"/>
      <c r="AJ16" s="2416"/>
      <c r="AK16" s="1433"/>
    </row>
    <row r="17" spans="1:41" s="2374" customFormat="1" ht="15" customHeight="1">
      <c r="A17" s="2419"/>
      <c r="B17" s="2304" t="s">
        <v>997</v>
      </c>
      <c r="C17" s="2420"/>
      <c r="D17" s="3795">
        <v>3601.8</v>
      </c>
      <c r="E17" s="1473"/>
      <c r="F17" s="3795">
        <v>3217.7</v>
      </c>
      <c r="G17" s="1473"/>
      <c r="H17" s="1768">
        <v>3702.6000000000004</v>
      </c>
      <c r="I17" s="2421"/>
      <c r="J17" s="1768">
        <v>3408.2</v>
      </c>
      <c r="K17" s="1768"/>
      <c r="L17" s="1768">
        <v>3778.4000000000005</v>
      </c>
      <c r="M17" s="1977"/>
      <c r="N17" s="1768">
        <v>3634.7999999999984</v>
      </c>
      <c r="O17" s="1977"/>
      <c r="P17" s="1768">
        <v>3459.6</v>
      </c>
      <c r="Q17" s="1977"/>
      <c r="R17" s="1768">
        <v>3963.5000000000018</v>
      </c>
      <c r="S17" s="1977"/>
      <c r="T17" s="1768">
        <v>5963.4999999999945</v>
      </c>
      <c r="U17" s="1977"/>
      <c r="V17" s="1768">
        <f>$AC17-$D17-$F17-L17-T17-R17-P17-N17-J17-H17</f>
        <v>5740.0000000000055</v>
      </c>
      <c r="W17" s="1977"/>
      <c r="X17" s="1768"/>
      <c r="Y17" s="1977"/>
      <c r="Z17" s="1768"/>
      <c r="AA17" s="1978"/>
      <c r="AB17" s="1981"/>
      <c r="AC17" s="1784">
        <v>40470.1</v>
      </c>
      <c r="AD17" s="2020"/>
      <c r="AE17" s="1981" t="s">
        <v>14</v>
      </c>
      <c r="AF17" s="1784">
        <v>33862.300000000003</v>
      </c>
      <c r="AG17" s="2163"/>
      <c r="AH17" s="2422"/>
      <c r="AI17" s="1979">
        <f>ROUND(SUM(+AC17-AF17),1)</f>
        <v>6607.8</v>
      </c>
      <c r="AJ17" s="2423"/>
      <c r="AK17" s="1703">
        <f t="shared" ref="AK17:AK21" si="0">ROUND(IF(AF17=0,0,AI17/ABS(AF17)),3)</f>
        <v>0.19500000000000001</v>
      </c>
      <c r="AL17" s="2372" t="s">
        <v>14</v>
      </c>
    </row>
    <row r="18" spans="1:41" s="2374" customFormat="1" ht="15" customHeight="1">
      <c r="A18" s="2419"/>
      <c r="B18" s="2304" t="s">
        <v>1253</v>
      </c>
      <c r="C18" s="2420"/>
      <c r="D18" s="3795">
        <v>3342.2000000000003</v>
      </c>
      <c r="E18" s="1407"/>
      <c r="F18" s="1768">
        <v>6128.6999999999989</v>
      </c>
      <c r="G18" s="1407"/>
      <c r="H18" s="1768">
        <v>2740.7000000000007</v>
      </c>
      <c r="I18" s="2424"/>
      <c r="J18" s="1768">
        <v>147.10000000000036</v>
      </c>
      <c r="K18" s="1977"/>
      <c r="L18" s="1768">
        <v>131.09999999999854</v>
      </c>
      <c r="M18" s="1977"/>
      <c r="N18" s="1768">
        <v>3241.9000000000015</v>
      </c>
      <c r="O18" s="1977"/>
      <c r="P18" s="1768">
        <v>187.79999999999927</v>
      </c>
      <c r="Q18" s="1977"/>
      <c r="R18" s="1768">
        <v>119.89999999999964</v>
      </c>
      <c r="S18" s="1977"/>
      <c r="T18" s="1768">
        <v>516.30000000000109</v>
      </c>
      <c r="U18" s="1977"/>
      <c r="V18" s="1768">
        <f t="shared" ref="V18:V20" si="1">$AC18-$D18-$F18-L18-T18-R18-P18-N18-J18-H18</f>
        <v>4677.2000000000007</v>
      </c>
      <c r="W18" s="1977"/>
      <c r="X18" s="1768"/>
      <c r="Y18" s="1977"/>
      <c r="Z18" s="1768"/>
      <c r="AA18" s="1978"/>
      <c r="AB18" s="1981"/>
      <c r="AC18" s="1784">
        <v>21232.9</v>
      </c>
      <c r="AD18" s="2020"/>
      <c r="AE18" s="1981" t="s">
        <v>14</v>
      </c>
      <c r="AF18" s="1784">
        <v>16157.9</v>
      </c>
      <c r="AG18" s="2163"/>
      <c r="AH18" s="2422"/>
      <c r="AI18" s="1979">
        <f>ROUND(SUM(+AC18-AF18),1)</f>
        <v>5075</v>
      </c>
      <c r="AJ18" s="2423"/>
      <c r="AK18" s="1708">
        <f t="shared" si="0"/>
        <v>0.314</v>
      </c>
      <c r="AL18" s="2372" t="s">
        <v>14</v>
      </c>
    </row>
    <row r="19" spans="1:41" s="2374" customFormat="1" ht="15" customHeight="1">
      <c r="A19" s="2419"/>
      <c r="B19" s="2304" t="s">
        <v>998</v>
      </c>
      <c r="C19" s="2420"/>
      <c r="D19" s="3795">
        <v>913.6</v>
      </c>
      <c r="E19" s="1407"/>
      <c r="F19" s="1768">
        <v>2184.3000000000002</v>
      </c>
      <c r="G19" s="1407"/>
      <c r="H19" s="1768">
        <v>139.59999999999991</v>
      </c>
      <c r="I19" s="2424"/>
      <c r="J19" s="1768">
        <v>65</v>
      </c>
      <c r="K19" s="1977"/>
      <c r="L19" s="1768">
        <v>59.900000000000091</v>
      </c>
      <c r="M19" s="1977"/>
      <c r="N19" s="1768">
        <v>77.5</v>
      </c>
      <c r="O19" s="1977"/>
      <c r="P19" s="1768">
        <v>578.5</v>
      </c>
      <c r="Q19" s="1977"/>
      <c r="R19" s="1768">
        <v>75.199999999999818</v>
      </c>
      <c r="S19" s="1977"/>
      <c r="T19" s="1768">
        <v>44.400000000000091</v>
      </c>
      <c r="U19" s="1977"/>
      <c r="V19" s="1768">
        <f t="shared" si="1"/>
        <v>51.899999999999636</v>
      </c>
      <c r="W19" s="1977"/>
      <c r="X19" s="1768"/>
      <c r="Y19" s="1977"/>
      <c r="Z19" s="1768"/>
      <c r="AA19" s="1978"/>
      <c r="AB19" s="1981"/>
      <c r="AC19" s="1784">
        <v>4189.8999999999996</v>
      </c>
      <c r="AD19" s="2020"/>
      <c r="AE19" s="1981" t="s">
        <v>14</v>
      </c>
      <c r="AF19" s="1784">
        <v>3276.7</v>
      </c>
      <c r="AG19" s="2163"/>
      <c r="AH19" s="2422"/>
      <c r="AI19" s="1979">
        <f>ROUND(SUM(+AC19-AF19),1)</f>
        <v>913.2</v>
      </c>
      <c r="AJ19" s="2423"/>
      <c r="AK19" s="1703">
        <f t="shared" si="0"/>
        <v>0.27900000000000003</v>
      </c>
      <c r="AL19" s="2372" t="s">
        <v>14</v>
      </c>
    </row>
    <row r="20" spans="1:41" s="2374" customFormat="1" ht="15" customHeight="1">
      <c r="A20" s="2419"/>
      <c r="B20" s="2425" t="s">
        <v>999</v>
      </c>
      <c r="C20" s="2420"/>
      <c r="D20" s="3795">
        <v>-203</v>
      </c>
      <c r="E20" s="1407"/>
      <c r="F20" s="1768">
        <v>-264.7</v>
      </c>
      <c r="G20" s="1407"/>
      <c r="H20" s="1768">
        <v>-21.600000000000023</v>
      </c>
      <c r="I20" s="2424"/>
      <c r="J20" s="1768">
        <v>-31.800000000000011</v>
      </c>
      <c r="K20" s="1977"/>
      <c r="L20" s="1768">
        <v>-19.100000000000023</v>
      </c>
      <c r="M20" s="1977"/>
      <c r="N20" s="1768">
        <v>-28.099999999999909</v>
      </c>
      <c r="O20" s="1977"/>
      <c r="P20" s="1768">
        <v>-242.80000000000007</v>
      </c>
      <c r="Q20" s="1977"/>
      <c r="R20" s="1768">
        <v>-44.799999999999955</v>
      </c>
      <c r="S20" s="1977"/>
      <c r="T20" s="1768">
        <v>-4.8999999999999773</v>
      </c>
      <c r="U20" s="1977"/>
      <c r="V20" s="1768">
        <f t="shared" si="1"/>
        <v>-79.700000000000045</v>
      </c>
      <c r="W20" s="1977"/>
      <c r="X20" s="1768"/>
      <c r="Y20" s="1977"/>
      <c r="Z20" s="1768"/>
      <c r="AA20" s="1978"/>
      <c r="AB20" s="1981"/>
      <c r="AC20" s="1784">
        <v>-940.5</v>
      </c>
      <c r="AD20" s="2020"/>
      <c r="AE20" s="1981" t="s">
        <v>14</v>
      </c>
      <c r="AF20" s="1784">
        <v>-1027.4000000000001</v>
      </c>
      <c r="AG20" s="2163"/>
      <c r="AH20" s="2422"/>
      <c r="AI20" s="1979">
        <f>-ROUND(SUM(+AC20-AF20),1)</f>
        <v>-86.9</v>
      </c>
      <c r="AJ20" s="2423"/>
      <c r="AK20" s="1703">
        <f t="shared" si="0"/>
        <v>-8.5000000000000006E-2</v>
      </c>
      <c r="AL20" s="2372" t="s">
        <v>14</v>
      </c>
    </row>
    <row r="21" spans="1:41" s="2374" customFormat="1" ht="15" customHeight="1">
      <c r="A21" s="2419"/>
      <c r="B21" s="2425" t="s">
        <v>1252</v>
      </c>
      <c r="C21" s="2420"/>
      <c r="D21" s="3795">
        <v>154.1</v>
      </c>
      <c r="E21" s="1407"/>
      <c r="F21" s="1768">
        <v>87.200000000000017</v>
      </c>
      <c r="G21" s="1407"/>
      <c r="H21" s="1768">
        <v>111.30000000000001</v>
      </c>
      <c r="I21" s="2424"/>
      <c r="J21" s="1768">
        <v>91.899999999999949</v>
      </c>
      <c r="K21" s="1977"/>
      <c r="L21" s="1768">
        <v>112.39999999999995</v>
      </c>
      <c r="M21" s="1977"/>
      <c r="N21" s="1768">
        <v>104.20000000000002</v>
      </c>
      <c r="O21" s="1977"/>
      <c r="P21" s="1768">
        <v>118.1</v>
      </c>
      <c r="Q21" s="1977"/>
      <c r="R21" s="1768">
        <v>121.40000000000003</v>
      </c>
      <c r="S21" s="1977"/>
      <c r="T21" s="1768">
        <v>121.69999999999979</v>
      </c>
      <c r="U21" s="1977"/>
      <c r="V21" s="1768">
        <f>$AC21-$D21-$F21-L21-T21-R21-P21-N21-J21-H21</f>
        <v>145.10000000000008</v>
      </c>
      <c r="W21" s="1977"/>
      <c r="X21" s="1768"/>
      <c r="Y21" s="1977"/>
      <c r="Z21" s="1768"/>
      <c r="AA21" s="1978"/>
      <c r="AB21" s="1981"/>
      <c r="AC21" s="1784">
        <v>1167.4000000000001</v>
      </c>
      <c r="AD21" s="2020"/>
      <c r="AE21" s="1981" t="s">
        <v>14</v>
      </c>
      <c r="AF21" s="1784">
        <v>966.1</v>
      </c>
      <c r="AG21" s="2163"/>
      <c r="AH21" s="2422"/>
      <c r="AI21" s="1979">
        <f>ROUND(SUM(+AC21-AF21),1)</f>
        <v>201.3</v>
      </c>
      <c r="AJ21" s="2423"/>
      <c r="AK21" s="1703">
        <f t="shared" si="0"/>
        <v>0.20799999999999999</v>
      </c>
      <c r="AL21" s="2372" t="s">
        <v>14</v>
      </c>
    </row>
    <row r="22" spans="1:41" ht="15" customHeight="1">
      <c r="A22" s="2406"/>
      <c r="B22" s="2286" t="s">
        <v>1000</v>
      </c>
      <c r="C22" s="2023"/>
      <c r="D22" s="2426">
        <f>ROUND(SUM(D17:D21),1)</f>
        <v>7808.7</v>
      </c>
      <c r="E22" s="2424"/>
      <c r="F22" s="2427">
        <f>ROUND(SUM(F17:F21),1)</f>
        <v>11353.2</v>
      </c>
      <c r="G22" s="2424"/>
      <c r="H22" s="2426">
        <f>ROUND(SUM(H17:H21),1)</f>
        <v>6672.6</v>
      </c>
      <c r="I22" s="2424"/>
      <c r="J22" s="2427">
        <f>ROUND(SUM(J17:J21),1)</f>
        <v>3680.4</v>
      </c>
      <c r="K22" s="2023"/>
      <c r="L22" s="2021">
        <f>ROUND(SUM(L17:L21),1)</f>
        <v>4062.7</v>
      </c>
      <c r="M22" s="2023"/>
      <c r="N22" s="2021">
        <f>ROUND(SUM(N17:N21),1)</f>
        <v>7030.3</v>
      </c>
      <c r="O22" s="1985"/>
      <c r="P22" s="2021">
        <f>ROUND(SUM(P17:P21),1)</f>
        <v>4101.2</v>
      </c>
      <c r="Q22" s="1985"/>
      <c r="R22" s="2021">
        <f>ROUND(SUM(R17:R21),1)</f>
        <v>4235.2</v>
      </c>
      <c r="S22" s="1985"/>
      <c r="T22" s="2021">
        <f>ROUND(SUM(T17:T21),1)</f>
        <v>6641</v>
      </c>
      <c r="U22" s="1985"/>
      <c r="V22" s="2021">
        <f>ROUND(SUM(V17:V21),1)</f>
        <v>10534.5</v>
      </c>
      <c r="W22" s="1985"/>
      <c r="X22" s="2021">
        <f>ROUND(SUM(X17:X21),1)</f>
        <v>0</v>
      </c>
      <c r="Y22" s="1985"/>
      <c r="Z22" s="2021">
        <f>ROUND(SUM(Z17:Z21),1)</f>
        <v>0</v>
      </c>
      <c r="AA22" s="2001"/>
      <c r="AB22" s="2022"/>
      <c r="AC22" s="3094">
        <f>ROUND(SUM(AC17:AC21),1)</f>
        <v>66119.8</v>
      </c>
      <c r="AD22" s="2420"/>
      <c r="AE22" s="3095" t="s">
        <v>14</v>
      </c>
      <c r="AF22" s="1444">
        <f>ROUND(SUM(AF17:AF21),1)</f>
        <v>53235.6</v>
      </c>
      <c r="AG22" s="2001"/>
      <c r="AH22" s="2405"/>
      <c r="AI22" s="2021">
        <f>ROUND(SUM(AC22-AF22),1)</f>
        <v>12884.2</v>
      </c>
      <c r="AJ22" s="2416"/>
      <c r="AK22" s="1429">
        <f>ROUND(SUM(+AI22/AF22),3)</f>
        <v>0.24199999999999999</v>
      </c>
      <c r="AL22" s="2372" t="s">
        <v>14</v>
      </c>
      <c r="AO22" s="2374"/>
    </row>
    <row r="23" spans="1:41" s="2374" customFormat="1" ht="15" customHeight="1">
      <c r="A23" s="2419"/>
      <c r="B23" s="2425" t="s">
        <v>1002</v>
      </c>
      <c r="C23" s="2420"/>
      <c r="D23" s="3795">
        <v>0</v>
      </c>
      <c r="E23" s="1407"/>
      <c r="F23" s="1768">
        <v>0</v>
      </c>
      <c r="G23" s="1407"/>
      <c r="H23" s="1768">
        <v>0</v>
      </c>
      <c r="I23" s="2424"/>
      <c r="J23" s="1768">
        <v>0</v>
      </c>
      <c r="K23" s="1977"/>
      <c r="L23" s="1768">
        <v>0</v>
      </c>
      <c r="M23" s="1977"/>
      <c r="N23" s="1768">
        <v>0</v>
      </c>
      <c r="O23" s="1977"/>
      <c r="P23" s="1768">
        <v>-1.2</v>
      </c>
      <c r="Q23" s="1977"/>
      <c r="R23" s="1768">
        <v>-0.8</v>
      </c>
      <c r="S23" s="1977"/>
      <c r="T23" s="1768">
        <v>-14.100000000000001</v>
      </c>
      <c r="U23" s="1977"/>
      <c r="V23" s="1768">
        <f>$AC23-$D23-$F23-L23-T23-R23-P23-N23-J23-H23</f>
        <v>-1850</v>
      </c>
      <c r="W23" s="1977"/>
      <c r="X23" s="1768"/>
      <c r="Y23" s="1977"/>
      <c r="Z23" s="1768"/>
      <c r="AA23" s="1978"/>
      <c r="AB23" s="1981"/>
      <c r="AC23" s="1784">
        <v>-1866.1</v>
      </c>
      <c r="AD23" s="2020"/>
      <c r="AE23" s="1981" t="s">
        <v>14</v>
      </c>
      <c r="AF23" s="1784">
        <v>-2008.6</v>
      </c>
      <c r="AG23" s="2163"/>
      <c r="AH23" s="2422"/>
      <c r="AI23" s="1979">
        <f>-ROUND(SUM(+AC23-AF23),1)</f>
        <v>-142.5</v>
      </c>
      <c r="AJ23" s="2423"/>
      <c r="AK23" s="1422">
        <f>ROUND(IF(AF23=0,0,AI23/ABS(AF23)),3)</f>
        <v>-7.0999999999999994E-2</v>
      </c>
      <c r="AL23" s="2372"/>
    </row>
    <row r="24" spans="1:41" s="2374" customFormat="1" ht="15" customHeight="1">
      <c r="A24" s="2419"/>
      <c r="B24" s="2425" t="s">
        <v>1003</v>
      </c>
      <c r="C24" s="2420"/>
      <c r="D24" s="3795">
        <v>-3262.9</v>
      </c>
      <c r="E24" s="1407"/>
      <c r="F24" s="1768">
        <v>-4916.5</v>
      </c>
      <c r="G24" s="1407"/>
      <c r="H24" s="1768">
        <v>-2910.3000000000011</v>
      </c>
      <c r="I24" s="2424"/>
      <c r="J24" s="1768">
        <v>-1682.2999999999993</v>
      </c>
      <c r="K24" s="1977"/>
      <c r="L24" s="1768">
        <v>-1900.7000000000007</v>
      </c>
      <c r="M24" s="1977"/>
      <c r="N24" s="1768">
        <v>-3224.8999999999978</v>
      </c>
      <c r="O24" s="1977"/>
      <c r="P24" s="1768">
        <v>-1688.2000000000007</v>
      </c>
      <c r="Q24" s="1977"/>
      <c r="R24" s="1768">
        <v>-1790.4999999999982</v>
      </c>
      <c r="S24" s="1977"/>
      <c r="T24" s="1768">
        <v>-3143.2000000000007</v>
      </c>
      <c r="U24" s="1977"/>
      <c r="V24" s="1768">
        <f t="shared" ref="V24:V25" si="2">$AC24-$D24-$F24-L24-T24-R24-P24-N24-J24-H24</f>
        <v>-5216.5</v>
      </c>
      <c r="W24" s="1977"/>
      <c r="X24" s="1768"/>
      <c r="Y24" s="1977"/>
      <c r="Z24" s="1768"/>
      <c r="AA24" s="1978"/>
      <c r="AB24" s="1981"/>
      <c r="AC24" s="1784">
        <v>-29736</v>
      </c>
      <c r="AD24" s="2020"/>
      <c r="AE24" s="1981" t="s">
        <v>14</v>
      </c>
      <c r="AF24" s="1784">
        <v>-23125.599999999999</v>
      </c>
      <c r="AG24" s="2163"/>
      <c r="AH24" s="2422"/>
      <c r="AI24" s="1979">
        <f>-ROUND(SUM(+AC24-AF24),1)</f>
        <v>6610.4</v>
      </c>
      <c r="AJ24" s="2423"/>
      <c r="AK24" s="1703">
        <f>ROUND(IF(AF24=0,0,AI24/ABS(AF24)),3)</f>
        <v>0.28599999999999998</v>
      </c>
      <c r="AL24" s="2372"/>
    </row>
    <row r="25" spans="1:41" s="2374" customFormat="1" ht="15" customHeight="1">
      <c r="A25" s="2419"/>
      <c r="B25" s="2304" t="s">
        <v>1254</v>
      </c>
      <c r="C25" s="2420"/>
      <c r="D25" s="3795">
        <v>-1282.9000000000001</v>
      </c>
      <c r="E25" s="1407"/>
      <c r="F25" s="1768">
        <v>-1520.1999999999998</v>
      </c>
      <c r="G25" s="1407"/>
      <c r="H25" s="1768">
        <v>-852</v>
      </c>
      <c r="I25" s="2424"/>
      <c r="J25" s="1768">
        <v>-315.80000000000018</v>
      </c>
      <c r="K25" s="1977"/>
      <c r="L25" s="1768">
        <v>-261.29999999999973</v>
      </c>
      <c r="M25" s="1977"/>
      <c r="N25" s="1768">
        <v>-580.5</v>
      </c>
      <c r="O25" s="1977"/>
      <c r="P25" s="1768">
        <v>-724.80000000000064</v>
      </c>
      <c r="Q25" s="1977"/>
      <c r="R25" s="1768">
        <v>-654.10000000000036</v>
      </c>
      <c r="S25" s="1977"/>
      <c r="T25" s="1768">
        <v>-354.69999999999891</v>
      </c>
      <c r="U25" s="1977"/>
      <c r="V25" s="1768">
        <f t="shared" si="2"/>
        <v>-101.5</v>
      </c>
      <c r="W25" s="1977"/>
      <c r="X25" s="1768"/>
      <c r="Y25" s="1977"/>
      <c r="Z25" s="1768"/>
      <c r="AA25" s="1978"/>
      <c r="AB25" s="1981"/>
      <c r="AC25" s="1784">
        <v>-6647.7999999999993</v>
      </c>
      <c r="AD25" s="2020"/>
      <c r="AE25" s="1981" t="s">
        <v>14</v>
      </c>
      <c r="AF25" s="1784">
        <v>-6984.4</v>
      </c>
      <c r="AG25" s="2163"/>
      <c r="AH25" s="2422"/>
      <c r="AI25" s="1979">
        <f>-ROUND(SUM(+AC25-AF25),1)</f>
        <v>-336.6</v>
      </c>
      <c r="AJ25" s="2423"/>
      <c r="AK25" s="1703">
        <f>ROUND(IF(AF25=0,0,AI25/ABS(AF25)),3)</f>
        <v>-4.8000000000000001E-2</v>
      </c>
      <c r="AL25" s="2372"/>
    </row>
    <row r="26" spans="1:41" ht="15" customHeight="1">
      <c r="A26" s="2406"/>
      <c r="B26" s="2428" t="s">
        <v>1001</v>
      </c>
      <c r="C26" s="2001"/>
      <c r="D26" s="2429">
        <f>ROUND(SUM(D22:D25),1)</f>
        <v>3262.9</v>
      </c>
      <c r="E26" s="1427"/>
      <c r="F26" s="2430">
        <f>ROUND(SUM(F22+F23+F24+F25),1)</f>
        <v>4916.5</v>
      </c>
      <c r="G26" s="1427"/>
      <c r="H26" s="2429">
        <f>ROUND(SUM(H22+H23+H24+H25),1)</f>
        <v>2910.3</v>
      </c>
      <c r="I26" s="1427"/>
      <c r="J26" s="2430">
        <f>ROUND(SUM(J22+J23+J24+J25),1)</f>
        <v>1682.3</v>
      </c>
      <c r="K26" s="1985"/>
      <c r="L26" s="2021">
        <f>ROUND(SUM(L22+L23+L24+L25),1)</f>
        <v>1900.7</v>
      </c>
      <c r="M26" s="1985"/>
      <c r="N26" s="2021">
        <f>ROUND(SUM(N22+N23+N24+N25),1)</f>
        <v>3224.9</v>
      </c>
      <c r="O26" s="1985"/>
      <c r="P26" s="2021">
        <f>ROUND(SUM(P22+P23+P24+P25),1)</f>
        <v>1687</v>
      </c>
      <c r="Q26" s="1985"/>
      <c r="R26" s="2021">
        <f>ROUND(SUM(R22+R23+R24+R25),1)</f>
        <v>1789.8</v>
      </c>
      <c r="S26" s="1985"/>
      <c r="T26" s="2021">
        <f>ROUND(SUM(T22+T23+T24+T25),1)</f>
        <v>3129</v>
      </c>
      <c r="U26" s="1985"/>
      <c r="V26" s="2021">
        <f>ROUND(SUM(V22+V23+V24+V25),1)</f>
        <v>3366.5</v>
      </c>
      <c r="W26" s="1985"/>
      <c r="X26" s="2021">
        <f>ROUND(SUM(X22+X23+X24+X25),1)</f>
        <v>0</v>
      </c>
      <c r="Y26" s="1985"/>
      <c r="Z26" s="2021">
        <f>ROUND(SUM(Z22+Z23+Z24+Z25),1)</f>
        <v>0</v>
      </c>
      <c r="AA26" s="1447"/>
      <c r="AB26" s="2022"/>
      <c r="AC26" s="3094">
        <f>ROUND(SUM(AC22+AC23+AC24+AC25),1)</f>
        <v>27869.9</v>
      </c>
      <c r="AD26" s="1974"/>
      <c r="AE26" s="1980" t="s">
        <v>14</v>
      </c>
      <c r="AF26" s="1444">
        <f>ROUND(SUM(AF22+AF23+AF24+AF25),1)</f>
        <v>21117</v>
      </c>
      <c r="AG26" s="1985"/>
      <c r="AH26" s="2431"/>
      <c r="AI26" s="2021">
        <f>ROUND(SUM(AI22-AI23-AI24-AI25),1)</f>
        <v>6752.9</v>
      </c>
      <c r="AJ26" s="2432"/>
      <c r="AK26" s="1429">
        <f>ROUND(SUM(+AI26/AF26),3)</f>
        <v>0.32</v>
      </c>
      <c r="AO26" s="2374"/>
    </row>
    <row r="27" spans="1:41" ht="15" customHeight="1">
      <c r="A27" s="2406"/>
      <c r="B27" s="2418" t="s">
        <v>1050</v>
      </c>
      <c r="C27" s="2001"/>
      <c r="D27" s="1428"/>
      <c r="E27" s="1427"/>
      <c r="F27" s="1446"/>
      <c r="G27" s="1427"/>
      <c r="H27" s="1428"/>
      <c r="I27" s="1427"/>
      <c r="J27" s="1446"/>
      <c r="K27" s="1985"/>
      <c r="L27" s="1428"/>
      <c r="M27" s="1985"/>
      <c r="N27" s="1428"/>
      <c r="O27" s="1985"/>
      <c r="P27" s="1446"/>
      <c r="Q27" s="1985"/>
      <c r="R27" s="1428"/>
      <c r="S27" s="1985"/>
      <c r="T27" s="1428"/>
      <c r="U27" s="1985"/>
      <c r="V27" s="1428"/>
      <c r="W27" s="1985"/>
      <c r="X27" s="1428"/>
      <c r="Y27" s="1985"/>
      <c r="Z27" s="1428"/>
      <c r="AA27" s="1447"/>
      <c r="AB27" s="2022"/>
      <c r="AC27" s="1446"/>
      <c r="AD27" s="1974"/>
      <c r="AE27" s="1980" t="s">
        <v>14</v>
      </c>
      <c r="AF27" s="1446"/>
      <c r="AG27" s="1985"/>
      <c r="AH27" s="2431"/>
      <c r="AI27" s="1428"/>
      <c r="AJ27" s="2432"/>
      <c r="AK27" s="2433"/>
      <c r="AO27" s="2374"/>
    </row>
    <row r="28" spans="1:41" ht="15" customHeight="1">
      <c r="A28" s="2406"/>
      <c r="B28" s="2210" t="s">
        <v>1006</v>
      </c>
      <c r="C28" s="2001"/>
      <c r="D28" s="3795">
        <v>292.8</v>
      </c>
      <c r="E28" s="1407"/>
      <c r="F28" s="1768">
        <v>295.59999999999997</v>
      </c>
      <c r="G28" s="1407"/>
      <c r="H28" s="1768">
        <v>402.99999999999994</v>
      </c>
      <c r="I28" s="1427"/>
      <c r="J28" s="1768">
        <v>324.50000000000028</v>
      </c>
      <c r="K28" s="1977"/>
      <c r="L28" s="1768">
        <v>313.39999999999992</v>
      </c>
      <c r="M28" s="1977"/>
      <c r="N28" s="1768">
        <v>408.00000000000006</v>
      </c>
      <c r="O28" s="1977"/>
      <c r="P28" s="1768">
        <v>314.59999999999997</v>
      </c>
      <c r="Q28" s="1977"/>
      <c r="R28" s="1768">
        <v>323.29999999999978</v>
      </c>
      <c r="S28" s="1977"/>
      <c r="T28" s="1768">
        <v>411.3</v>
      </c>
      <c r="U28" s="1977"/>
      <c r="V28" s="1768">
        <f t="shared" ref="V28:V35" si="3">$AC28-$D28-$F28-L28-T28-R28-P28-N28-J28-H28</f>
        <v>346.99999999999983</v>
      </c>
      <c r="W28" s="1977"/>
      <c r="X28" s="1768"/>
      <c r="Y28" s="1977"/>
      <c r="Z28" s="1768"/>
      <c r="AA28" s="1978"/>
      <c r="AB28" s="1981"/>
      <c r="AC28" s="1784">
        <v>3433.5</v>
      </c>
      <c r="AD28" s="2020"/>
      <c r="AE28" s="1981" t="s">
        <v>14</v>
      </c>
      <c r="AF28" s="1784">
        <v>5514.2</v>
      </c>
      <c r="AG28" s="1985"/>
      <c r="AH28" s="2431"/>
      <c r="AI28" s="1427">
        <f t="shared" ref="AI28:AI33" si="4">ROUND(SUM(+AC28-AF28),1)</f>
        <v>-2080.6999999999998</v>
      </c>
      <c r="AJ28" s="2432"/>
      <c r="AK28" s="1422">
        <f t="shared" ref="AK28:AK33" si="5">ROUND(IF(AF28=0,0,AI28/ABS(AF28)),3)</f>
        <v>-0.377</v>
      </c>
      <c r="AM28" s="2374"/>
      <c r="AO28" s="2374"/>
    </row>
    <row r="29" spans="1:41" ht="15" customHeight="1">
      <c r="A29" s="2406"/>
      <c r="B29" s="2210" t="s">
        <v>1007</v>
      </c>
      <c r="C29" s="2001"/>
      <c r="D29" s="3795">
        <v>0</v>
      </c>
      <c r="E29" s="1407"/>
      <c r="F29" s="1768">
        <v>0</v>
      </c>
      <c r="G29" s="1407"/>
      <c r="H29" s="1768">
        <v>0</v>
      </c>
      <c r="I29" s="1427"/>
      <c r="J29" s="1768">
        <v>0</v>
      </c>
      <c r="K29" s="1977"/>
      <c r="L29" s="1768">
        <v>0</v>
      </c>
      <c r="M29" s="1977"/>
      <c r="N29" s="1768">
        <v>0</v>
      </c>
      <c r="O29" s="1977"/>
      <c r="P29" s="1768">
        <v>0</v>
      </c>
      <c r="Q29" s="1977"/>
      <c r="R29" s="1768">
        <v>0</v>
      </c>
      <c r="S29" s="1977"/>
      <c r="T29" s="1768">
        <v>0</v>
      </c>
      <c r="U29" s="1977"/>
      <c r="V29" s="1768">
        <f t="shared" si="3"/>
        <v>0</v>
      </c>
      <c r="W29" s="1977"/>
      <c r="X29" s="1768"/>
      <c r="Y29" s="1977"/>
      <c r="Z29" s="1768"/>
      <c r="AA29" s="1978"/>
      <c r="AB29" s="1981"/>
      <c r="AC29" s="1784">
        <v>0</v>
      </c>
      <c r="AD29" s="2020"/>
      <c r="AE29" s="1981" t="s">
        <v>14</v>
      </c>
      <c r="AF29" s="1784">
        <v>0</v>
      </c>
      <c r="AG29" s="1985"/>
      <c r="AH29" s="2431"/>
      <c r="AI29" s="1427">
        <f t="shared" si="4"/>
        <v>0</v>
      </c>
      <c r="AJ29" s="2432"/>
      <c r="AK29" s="1422">
        <f t="shared" si="5"/>
        <v>0</v>
      </c>
      <c r="AM29" s="2374"/>
      <c r="AO29" s="2374"/>
    </row>
    <row r="30" spans="1:41" ht="15" customHeight="1">
      <c r="A30" s="2406"/>
      <c r="B30" s="2210" t="s">
        <v>1008</v>
      </c>
      <c r="C30" s="2001"/>
      <c r="D30" s="3795">
        <v>28.6</v>
      </c>
      <c r="E30" s="1407"/>
      <c r="F30" s="1768">
        <v>24.799999999999997</v>
      </c>
      <c r="G30" s="1407"/>
      <c r="H30" s="1768">
        <v>25.699999999999996</v>
      </c>
      <c r="I30" s="1427"/>
      <c r="J30" s="1768">
        <v>25.6</v>
      </c>
      <c r="K30" s="1977"/>
      <c r="L30" s="1768">
        <v>26</v>
      </c>
      <c r="M30" s="1977"/>
      <c r="N30" s="1768">
        <v>26.700000000000017</v>
      </c>
      <c r="O30" s="1977"/>
      <c r="P30" s="1768">
        <v>27.600000000000009</v>
      </c>
      <c r="Q30" s="1977"/>
      <c r="R30" s="1768">
        <v>23.800000000000011</v>
      </c>
      <c r="S30" s="1977"/>
      <c r="T30" s="1768">
        <v>25.500000000000007</v>
      </c>
      <c r="U30" s="1977"/>
      <c r="V30" s="1768">
        <f t="shared" si="3"/>
        <v>22.300000000000011</v>
      </c>
      <c r="W30" s="1977"/>
      <c r="X30" s="1768"/>
      <c r="Y30" s="1977"/>
      <c r="Z30" s="1768"/>
      <c r="AA30" s="1978"/>
      <c r="AB30" s="1981"/>
      <c r="AC30" s="1784">
        <v>256.60000000000002</v>
      </c>
      <c r="AD30" s="2020"/>
      <c r="AE30" s="1981" t="s">
        <v>14</v>
      </c>
      <c r="AF30" s="1784">
        <v>273.10000000000002</v>
      </c>
      <c r="AG30" s="1985"/>
      <c r="AH30" s="2431"/>
      <c r="AI30" s="1427">
        <f t="shared" si="4"/>
        <v>-16.5</v>
      </c>
      <c r="AJ30" s="2432"/>
      <c r="AK30" s="1422">
        <f t="shared" si="5"/>
        <v>-0.06</v>
      </c>
      <c r="AM30" s="2374"/>
      <c r="AO30" s="2374"/>
    </row>
    <row r="31" spans="1:41" ht="15" customHeight="1">
      <c r="A31" s="2406"/>
      <c r="B31" s="2210" t="s">
        <v>1009</v>
      </c>
      <c r="C31" s="2001"/>
      <c r="D31" s="3795">
        <v>0</v>
      </c>
      <c r="E31" s="1407"/>
      <c r="F31" s="1768">
        <v>0</v>
      </c>
      <c r="G31" s="1407"/>
      <c r="H31" s="1768">
        <v>0</v>
      </c>
      <c r="I31" s="1427"/>
      <c r="J31" s="1768">
        <v>0</v>
      </c>
      <c r="K31" s="1977"/>
      <c r="L31" s="1768">
        <v>0</v>
      </c>
      <c r="M31" s="1977"/>
      <c r="N31" s="1768">
        <v>0</v>
      </c>
      <c r="O31" s="1977"/>
      <c r="P31" s="1768">
        <v>0</v>
      </c>
      <c r="Q31" s="1977"/>
      <c r="R31" s="1768">
        <v>0</v>
      </c>
      <c r="S31" s="1977"/>
      <c r="T31" s="1768">
        <v>0</v>
      </c>
      <c r="U31" s="1977"/>
      <c r="V31" s="1768">
        <f t="shared" si="3"/>
        <v>0</v>
      </c>
      <c r="W31" s="1977"/>
      <c r="X31" s="1768"/>
      <c r="Y31" s="1977"/>
      <c r="Z31" s="1768"/>
      <c r="AA31" s="1978"/>
      <c r="AB31" s="1981"/>
      <c r="AC31" s="1784">
        <v>0</v>
      </c>
      <c r="AD31" s="2020"/>
      <c r="AE31" s="1981" t="s">
        <v>14</v>
      </c>
      <c r="AF31" s="1784">
        <v>0</v>
      </c>
      <c r="AG31" s="1985"/>
      <c r="AH31" s="2431"/>
      <c r="AI31" s="1427">
        <f t="shared" si="4"/>
        <v>0</v>
      </c>
      <c r="AJ31" s="2432"/>
      <c r="AK31" s="1422">
        <f>ROUND(IF(AF31=0,0,AI31/ABS(AF31)),3)</f>
        <v>0</v>
      </c>
      <c r="AM31" s="2374"/>
      <c r="AO31" s="2374"/>
    </row>
    <row r="32" spans="1:41" ht="15" customHeight="1">
      <c r="A32" s="2406"/>
      <c r="B32" s="2210" t="s">
        <v>1010</v>
      </c>
      <c r="C32" s="2001"/>
      <c r="D32" s="3795">
        <v>23</v>
      </c>
      <c r="E32" s="1407"/>
      <c r="F32" s="1768">
        <v>21.799999999999997</v>
      </c>
      <c r="G32" s="1407"/>
      <c r="H32" s="1768">
        <v>21.700000000000003</v>
      </c>
      <c r="I32" s="1427"/>
      <c r="J32" s="1768">
        <v>29.700000000000003</v>
      </c>
      <c r="K32" s="1977"/>
      <c r="L32" s="1768">
        <v>22.700000000000003</v>
      </c>
      <c r="M32" s="1977"/>
      <c r="N32" s="1768">
        <v>25.299999999999983</v>
      </c>
      <c r="O32" s="1977"/>
      <c r="P32" s="1768">
        <v>23.100000000000023</v>
      </c>
      <c r="Q32" s="1977"/>
      <c r="R32" s="1768">
        <v>23.299999999999997</v>
      </c>
      <c r="S32" s="1977"/>
      <c r="T32" s="1768">
        <v>24.200000000000003</v>
      </c>
      <c r="U32" s="1977"/>
      <c r="V32" s="1768">
        <f t="shared" si="3"/>
        <v>30.5</v>
      </c>
      <c r="W32" s="1977"/>
      <c r="X32" s="1768"/>
      <c r="Y32" s="1977"/>
      <c r="Z32" s="1768"/>
      <c r="AA32" s="1978"/>
      <c r="AB32" s="1981"/>
      <c r="AC32" s="1784">
        <v>245.3</v>
      </c>
      <c r="AD32" s="2020"/>
      <c r="AE32" s="1981" t="s">
        <v>14</v>
      </c>
      <c r="AF32" s="1784">
        <v>238.4</v>
      </c>
      <c r="AG32" s="1985"/>
      <c r="AH32" s="2431"/>
      <c r="AI32" s="1427">
        <f t="shared" si="4"/>
        <v>6.9</v>
      </c>
      <c r="AJ32" s="2432"/>
      <c r="AK32" s="1422">
        <f t="shared" si="5"/>
        <v>2.9000000000000001E-2</v>
      </c>
      <c r="AM32" s="2374"/>
      <c r="AO32" s="2374"/>
    </row>
    <row r="33" spans="1:41" ht="15" customHeight="1">
      <c r="A33" s="2406"/>
      <c r="B33" s="2210" t="s">
        <v>1011</v>
      </c>
      <c r="C33" s="2001"/>
      <c r="D33" s="3795">
        <v>0</v>
      </c>
      <c r="E33" s="1407"/>
      <c r="F33" s="1768">
        <v>0</v>
      </c>
      <c r="G33" s="1407"/>
      <c r="H33" s="1768">
        <v>0</v>
      </c>
      <c r="I33" s="1427"/>
      <c r="J33" s="1768">
        <v>0</v>
      </c>
      <c r="K33" s="1977"/>
      <c r="L33" s="1768">
        <v>0</v>
      </c>
      <c r="M33" s="1977"/>
      <c r="N33" s="1768">
        <v>0</v>
      </c>
      <c r="O33" s="1977"/>
      <c r="P33" s="1768">
        <v>0</v>
      </c>
      <c r="Q33" s="1977"/>
      <c r="R33" s="1768">
        <v>0</v>
      </c>
      <c r="S33" s="1977"/>
      <c r="T33" s="1768">
        <v>0</v>
      </c>
      <c r="U33" s="1977"/>
      <c r="V33" s="1768">
        <f t="shared" si="3"/>
        <v>0</v>
      </c>
      <c r="W33" s="1977"/>
      <c r="X33" s="1768"/>
      <c r="Y33" s="1977"/>
      <c r="Z33" s="1768"/>
      <c r="AA33" s="1978"/>
      <c r="AB33" s="1981"/>
      <c r="AC33" s="1784">
        <v>0</v>
      </c>
      <c r="AD33" s="2020"/>
      <c r="AE33" s="1981" t="s">
        <v>14</v>
      </c>
      <c r="AF33" s="1784">
        <v>0</v>
      </c>
      <c r="AG33" s="1985"/>
      <c r="AH33" s="2431"/>
      <c r="AI33" s="1427">
        <f t="shared" si="4"/>
        <v>0</v>
      </c>
      <c r="AJ33" s="2432"/>
      <c r="AK33" s="1422">
        <f t="shared" si="5"/>
        <v>0</v>
      </c>
      <c r="AM33" s="2374"/>
      <c r="AO33" s="2374"/>
    </row>
    <row r="34" spans="1:41" ht="15" customHeight="1">
      <c r="A34" s="2406"/>
      <c r="B34" s="2210" t="s">
        <v>1325</v>
      </c>
      <c r="C34" s="2001"/>
      <c r="D34" s="3795">
        <v>0</v>
      </c>
      <c r="E34" s="1407"/>
      <c r="F34" s="1768">
        <v>0</v>
      </c>
      <c r="G34" s="1407"/>
      <c r="H34" s="1768">
        <v>0</v>
      </c>
      <c r="I34" s="1427"/>
      <c r="J34" s="1768">
        <v>0</v>
      </c>
      <c r="K34" s="1977"/>
      <c r="L34" s="1768">
        <v>0</v>
      </c>
      <c r="M34" s="1977"/>
      <c r="N34" s="1768">
        <v>0</v>
      </c>
      <c r="O34" s="1977"/>
      <c r="P34" s="1768">
        <v>0</v>
      </c>
      <c r="Q34" s="1977"/>
      <c r="R34" s="1768">
        <v>0</v>
      </c>
      <c r="S34" s="1977"/>
      <c r="T34" s="1768">
        <v>0</v>
      </c>
      <c r="U34" s="1977"/>
      <c r="V34" s="1768">
        <f t="shared" si="3"/>
        <v>0</v>
      </c>
      <c r="W34" s="1977"/>
      <c r="X34" s="1768"/>
      <c r="Y34" s="1977"/>
      <c r="Z34" s="1768"/>
      <c r="AA34" s="1978"/>
      <c r="AB34" s="2027"/>
      <c r="AC34" s="1784">
        <v>0</v>
      </c>
      <c r="AD34" s="2020"/>
      <c r="AE34" s="2027" t="s">
        <v>14</v>
      </c>
      <c r="AF34" s="1784">
        <v>0</v>
      </c>
      <c r="AG34" s="1985"/>
      <c r="AH34" s="2431"/>
      <c r="AI34" s="1427">
        <f>ROUND(SUM(+AC34-AF34),1)</f>
        <v>0</v>
      </c>
      <c r="AJ34" s="2432"/>
      <c r="AK34" s="1422">
        <f>ROUND(IF(AF34=0,0,AI34/ABS(AF34)),3)</f>
        <v>0</v>
      </c>
      <c r="AM34" s="2374"/>
      <c r="AO34" s="2374"/>
    </row>
    <row r="35" spans="1:41" ht="15" customHeight="1">
      <c r="A35" s="2406"/>
      <c r="B35" s="2210" t="s">
        <v>1326</v>
      </c>
      <c r="C35" s="2001"/>
      <c r="D35" s="3795">
        <v>6.7</v>
      </c>
      <c r="E35" s="1407"/>
      <c r="F35" s="1768">
        <v>9.9999999999999645E-2</v>
      </c>
      <c r="G35" s="1407"/>
      <c r="H35" s="1768">
        <v>0</v>
      </c>
      <c r="I35" s="1427"/>
      <c r="J35" s="1768">
        <v>7.5000000000000009</v>
      </c>
      <c r="K35" s="1977"/>
      <c r="L35" s="1768">
        <v>0</v>
      </c>
      <c r="M35" s="1977"/>
      <c r="N35" s="1768">
        <v>0</v>
      </c>
      <c r="O35" s="1977"/>
      <c r="P35" s="1768">
        <v>5.2</v>
      </c>
      <c r="Q35" s="1977"/>
      <c r="R35" s="1768">
        <v>0</v>
      </c>
      <c r="S35" s="1977"/>
      <c r="T35" s="1768">
        <v>0</v>
      </c>
      <c r="U35" s="1977"/>
      <c r="V35" s="1768">
        <f t="shared" si="3"/>
        <v>9.0000000000000036</v>
      </c>
      <c r="W35" s="1977"/>
      <c r="X35" s="1768"/>
      <c r="Y35" s="1977"/>
      <c r="Z35" s="1768"/>
      <c r="AA35" s="1978"/>
      <c r="AB35" s="1981"/>
      <c r="AC35" s="1784">
        <v>28.5</v>
      </c>
      <c r="AD35" s="2020"/>
      <c r="AE35" s="1981" t="s">
        <v>14</v>
      </c>
      <c r="AF35" s="1784">
        <v>29.9</v>
      </c>
      <c r="AG35" s="1985"/>
      <c r="AH35" s="2431"/>
      <c r="AI35" s="1427">
        <f t="shared" ref="AI35" si="6">ROUND(SUM(+AC35-AF35),1)</f>
        <v>-1.4</v>
      </c>
      <c r="AJ35" s="2432"/>
      <c r="AK35" s="1422">
        <f>ROUND(IF(AF35=0,1,AI35/ABS(AF35)),3)</f>
        <v>-4.7E-2</v>
      </c>
      <c r="AM35" s="2374"/>
      <c r="AO35" s="2374"/>
    </row>
    <row r="36" spans="1:41" s="2436" customFormat="1" ht="15" customHeight="1">
      <c r="A36" s="2434"/>
      <c r="B36" s="2428" t="s">
        <v>1005</v>
      </c>
      <c r="C36" s="2383"/>
      <c r="D36" s="2429">
        <f>ROUND(SUM(D28:D35),1)</f>
        <v>351.1</v>
      </c>
      <c r="E36" s="1445"/>
      <c r="F36" s="2430">
        <f>ROUND(SUM(F28:F35),1)</f>
        <v>342.3</v>
      </c>
      <c r="G36" s="1445"/>
      <c r="H36" s="2429">
        <f>ROUND(SUM(H28:H35),1)</f>
        <v>450.4</v>
      </c>
      <c r="I36" s="1445"/>
      <c r="J36" s="2430">
        <f>ROUND(SUM(J28:J35),1)</f>
        <v>387.3</v>
      </c>
      <c r="K36" s="1445"/>
      <c r="L36" s="2021">
        <f>ROUND(SUM(L28:L35),1)</f>
        <v>362.1</v>
      </c>
      <c r="M36" s="1445"/>
      <c r="N36" s="2021">
        <f>ROUND(SUM(N28:N35),1)</f>
        <v>460</v>
      </c>
      <c r="O36" s="1445"/>
      <c r="P36" s="2021">
        <f>ROUND(SUM(P28:P35),1)</f>
        <v>370.5</v>
      </c>
      <c r="Q36" s="1445"/>
      <c r="R36" s="2021">
        <f>ROUND(SUM(R28:R35),1)</f>
        <v>370.4</v>
      </c>
      <c r="S36" s="1445"/>
      <c r="T36" s="2021">
        <f>ROUND(SUM(T28:T35),1)</f>
        <v>461</v>
      </c>
      <c r="U36" s="1445"/>
      <c r="V36" s="2021">
        <f>ROUND(SUM(V28:V35),1)</f>
        <v>408.8</v>
      </c>
      <c r="W36" s="1445"/>
      <c r="X36" s="2021">
        <f>ROUND(SUM(X28:X35),1)</f>
        <v>0</v>
      </c>
      <c r="Y36" s="1445"/>
      <c r="Z36" s="2021">
        <f>ROUND(SUM(Z28:Z35),1)</f>
        <v>0</v>
      </c>
      <c r="AA36" s="1989"/>
      <c r="AB36" s="2024"/>
      <c r="AC36" s="3094">
        <f>ROUND(SUM(AC28:AC35),1)</f>
        <v>3963.9</v>
      </c>
      <c r="AD36" s="2029"/>
      <c r="AE36" s="2508"/>
      <c r="AF36" s="1444">
        <f>ROUND(SUM(AF28:AF35),1)</f>
        <v>6055.6</v>
      </c>
      <c r="AG36" s="1445"/>
      <c r="AH36" s="2435"/>
      <c r="AI36" s="2021">
        <f>ROUND(SUM(AI28:AI35),1)</f>
        <v>-2091.6999999999998</v>
      </c>
      <c r="AJ36" s="1428"/>
      <c r="AK36" s="1429">
        <f>ROUND(SUM(+AI36/AF36),3)</f>
        <v>-0.34499999999999997</v>
      </c>
      <c r="AL36" s="2372"/>
      <c r="AO36" s="2374"/>
    </row>
    <row r="37" spans="1:41" s="2436" customFormat="1" ht="15" customHeight="1">
      <c r="A37" s="2434"/>
      <c r="B37" s="2418" t="s">
        <v>1051</v>
      </c>
      <c r="C37" s="2383"/>
      <c r="D37" s="1428"/>
      <c r="E37" s="1445"/>
      <c r="F37" s="1446"/>
      <c r="G37" s="1445"/>
      <c r="H37" s="1428"/>
      <c r="I37" s="1445"/>
      <c r="J37" s="2020"/>
      <c r="K37" s="1445"/>
      <c r="L37" s="1428"/>
      <c r="M37" s="1445"/>
      <c r="N37" s="1428"/>
      <c r="O37" s="1445"/>
      <c r="P37" s="1446"/>
      <c r="Q37" s="1445"/>
      <c r="R37" s="1428"/>
      <c r="S37" s="1445"/>
      <c r="T37" s="1428"/>
      <c r="U37" s="1445"/>
      <c r="V37" s="1428"/>
      <c r="W37" s="1445"/>
      <c r="X37" s="1428"/>
      <c r="Y37" s="1445"/>
      <c r="Z37" s="1428"/>
      <c r="AA37" s="1989"/>
      <c r="AB37" s="2024"/>
      <c r="AC37" s="1446"/>
      <c r="AD37" s="2029"/>
      <c r="AE37" s="2508" t="s">
        <v>14</v>
      </c>
      <c r="AF37" s="1446"/>
      <c r="AG37" s="1445"/>
      <c r="AH37" s="2435"/>
      <c r="AI37" s="1428"/>
      <c r="AJ37" s="1428"/>
      <c r="AK37" s="2433"/>
      <c r="AL37" s="2372"/>
      <c r="AO37" s="2374"/>
    </row>
    <row r="38" spans="1:41" s="2436" customFormat="1" ht="15" customHeight="1">
      <c r="A38" s="2434"/>
      <c r="B38" s="2210" t="s">
        <v>1013</v>
      </c>
      <c r="C38" s="2383"/>
      <c r="D38" s="3795">
        <v>613.79999999999995</v>
      </c>
      <c r="E38" s="1407"/>
      <c r="F38" s="3795">
        <v>66.200000000000045</v>
      </c>
      <c r="G38" s="1407"/>
      <c r="H38" s="1768">
        <v>1187.8</v>
      </c>
      <c r="I38" s="1445"/>
      <c r="J38" s="1768">
        <v>213.60000000000014</v>
      </c>
      <c r="K38" s="1977"/>
      <c r="L38" s="1768">
        <v>19.900000000000091</v>
      </c>
      <c r="M38" s="1977"/>
      <c r="N38" s="1768">
        <v>1216.3999999999999</v>
      </c>
      <c r="O38" s="1977"/>
      <c r="P38" s="1768">
        <v>48.499999999999773</v>
      </c>
      <c r="Q38" s="1977"/>
      <c r="R38" s="1768">
        <v>-77.399999999999864</v>
      </c>
      <c r="S38" s="1977"/>
      <c r="T38" s="1768">
        <v>1069.4999999999998</v>
      </c>
      <c r="U38" s="1977"/>
      <c r="V38" s="1768">
        <f t="shared" ref="V38:V43" si="7">$AC38-$D38-$F38-L38-T38-R38-P38-N38-J38-H38</f>
        <v>186.00000000000023</v>
      </c>
      <c r="W38" s="1977"/>
      <c r="X38" s="1768"/>
      <c r="Y38" s="1977"/>
      <c r="Z38" s="1768"/>
      <c r="AA38" s="1978"/>
      <c r="AB38" s="1981"/>
      <c r="AC38" s="1784">
        <v>4544.3</v>
      </c>
      <c r="AD38" s="2020"/>
      <c r="AE38" s="1981" t="s">
        <v>14</v>
      </c>
      <c r="AF38" s="1784">
        <v>2841.6</v>
      </c>
      <c r="AG38" s="1445"/>
      <c r="AH38" s="2435"/>
      <c r="AI38" s="1427">
        <f t="shared" ref="AI38:AI43" si="8">ROUND(SUM(+AC38-AF38),1)</f>
        <v>1702.7</v>
      </c>
      <c r="AJ38" s="1428"/>
      <c r="AK38" s="1422">
        <f t="shared" ref="AK38:AK43" si="9">ROUND(IF(AF38=0,0,AI38/ABS(AF38)),3)</f>
        <v>0.59899999999999998</v>
      </c>
      <c r="AL38" s="2372"/>
      <c r="AM38" s="2374"/>
      <c r="AO38" s="2374"/>
    </row>
    <row r="39" spans="1:41" s="2436" customFormat="1" ht="15" customHeight="1">
      <c r="A39" s="2434"/>
      <c r="B39" s="2210" t="s">
        <v>1014</v>
      </c>
      <c r="C39" s="2383"/>
      <c r="D39" s="3795">
        <v>28.6</v>
      </c>
      <c r="E39" s="1407"/>
      <c r="F39" s="3795">
        <v>0.59999999999999787</v>
      </c>
      <c r="G39" s="1407"/>
      <c r="H39" s="1768">
        <v>63.700000000000017</v>
      </c>
      <c r="I39" s="1445"/>
      <c r="J39" s="1768">
        <v>1.5</v>
      </c>
      <c r="K39" s="1977"/>
      <c r="L39" s="1768">
        <v>-0.80000000000001137</v>
      </c>
      <c r="M39" s="1977"/>
      <c r="N39" s="1768">
        <v>84.1</v>
      </c>
      <c r="O39" s="1977"/>
      <c r="P39" s="1768">
        <v>1.9000000000000057</v>
      </c>
      <c r="Q39" s="1977"/>
      <c r="R39" s="1768">
        <v>0.80000000000001137</v>
      </c>
      <c r="S39" s="1977"/>
      <c r="T39" s="1768">
        <v>78.400000000000006</v>
      </c>
      <c r="U39" s="1977"/>
      <c r="V39" s="1768">
        <f t="shared" si="7"/>
        <v>-0.40000000000003411</v>
      </c>
      <c r="W39" s="1977"/>
      <c r="X39" s="1768"/>
      <c r="Y39" s="1977"/>
      <c r="Z39" s="1768"/>
      <c r="AA39" s="1978"/>
      <c r="AB39" s="1981"/>
      <c r="AC39" s="1784">
        <v>258.39999999999998</v>
      </c>
      <c r="AD39" s="2020"/>
      <c r="AE39" s="1981" t="s">
        <v>14</v>
      </c>
      <c r="AF39" s="1784">
        <v>266</v>
      </c>
      <c r="AG39" s="1445"/>
      <c r="AH39" s="2435"/>
      <c r="AI39" s="1427">
        <f t="shared" si="8"/>
        <v>-7.6</v>
      </c>
      <c r="AJ39" s="1428"/>
      <c r="AK39" s="1463">
        <f t="shared" si="9"/>
        <v>-2.9000000000000001E-2</v>
      </c>
      <c r="AL39" s="2372"/>
      <c r="AM39" s="2374"/>
      <c r="AO39" s="2374"/>
    </row>
    <row r="40" spans="1:41" s="2436" customFormat="1" ht="15" customHeight="1">
      <c r="A40" s="2434"/>
      <c r="B40" s="2210" t="s">
        <v>1015</v>
      </c>
      <c r="C40" s="2383"/>
      <c r="D40" s="3795">
        <v>73</v>
      </c>
      <c r="E40" s="1407"/>
      <c r="F40" s="3795">
        <v>54.8</v>
      </c>
      <c r="G40" s="1407"/>
      <c r="H40" s="1768">
        <v>328.4</v>
      </c>
      <c r="I40" s="1445"/>
      <c r="J40" s="1768">
        <v>13.400000000000034</v>
      </c>
      <c r="K40" s="1977"/>
      <c r="L40" s="1768">
        <v>48</v>
      </c>
      <c r="M40" s="1977"/>
      <c r="N40" s="1768">
        <v>403.50000000000011</v>
      </c>
      <c r="O40" s="1977"/>
      <c r="P40" s="1768">
        <v>10.999999999999943</v>
      </c>
      <c r="Q40" s="1977"/>
      <c r="R40" s="1768">
        <v>34.800000000000011</v>
      </c>
      <c r="S40" s="1977"/>
      <c r="T40" s="1768">
        <v>386</v>
      </c>
      <c r="U40" s="1977"/>
      <c r="V40" s="1768">
        <f t="shared" si="7"/>
        <v>19.000000000000057</v>
      </c>
      <c r="W40" s="1977"/>
      <c r="X40" s="1768"/>
      <c r="Y40" s="1977"/>
      <c r="Z40" s="1768"/>
      <c r="AA40" s="1978"/>
      <c r="AB40" s="1981"/>
      <c r="AC40" s="1784">
        <v>1371.9</v>
      </c>
      <c r="AD40" s="2020"/>
      <c r="AE40" s="1981" t="s">
        <v>14</v>
      </c>
      <c r="AF40" s="1784">
        <v>1194.0999999999999</v>
      </c>
      <c r="AG40" s="1445"/>
      <c r="AH40" s="2435"/>
      <c r="AI40" s="1427">
        <f t="shared" si="8"/>
        <v>177.8</v>
      </c>
      <c r="AJ40" s="1428"/>
      <c r="AK40" s="1422">
        <f t="shared" si="9"/>
        <v>0.14899999999999999</v>
      </c>
      <c r="AL40" s="2372"/>
      <c r="AM40" s="2374"/>
      <c r="AO40" s="2374"/>
    </row>
    <row r="41" spans="1:41" s="2436" customFormat="1" ht="15" customHeight="1">
      <c r="A41" s="2434"/>
      <c r="B41" s="2210" t="s">
        <v>1016</v>
      </c>
      <c r="C41" s="2383"/>
      <c r="D41" s="3795">
        <v>14.2</v>
      </c>
      <c r="E41" s="1407"/>
      <c r="F41" s="3795">
        <v>-17.099999999999998</v>
      </c>
      <c r="G41" s="1407"/>
      <c r="H41" s="1768">
        <v>6.4999999999999982</v>
      </c>
      <c r="I41" s="1445"/>
      <c r="J41" s="1768">
        <v>0.20000000000000107</v>
      </c>
      <c r="K41" s="1977"/>
      <c r="L41" s="1768">
        <v>0</v>
      </c>
      <c r="M41" s="1977"/>
      <c r="N41" s="1768">
        <v>3.8999999999999986</v>
      </c>
      <c r="O41" s="1977"/>
      <c r="P41" s="1768">
        <v>9</v>
      </c>
      <c r="Q41" s="1977"/>
      <c r="R41" s="1768">
        <v>-0.39999999999999858</v>
      </c>
      <c r="S41" s="1977"/>
      <c r="T41" s="1768">
        <v>0.19999999999999751</v>
      </c>
      <c r="U41" s="1977"/>
      <c r="V41" s="1768">
        <f t="shared" si="7"/>
        <v>0</v>
      </c>
      <c r="W41" s="1977"/>
      <c r="X41" s="1768"/>
      <c r="Y41" s="1977"/>
      <c r="Z41" s="1768"/>
      <c r="AA41" s="1978"/>
      <c r="AB41" s="1981"/>
      <c r="AC41" s="1784">
        <v>16.5</v>
      </c>
      <c r="AD41" s="2020"/>
      <c r="AE41" s="1981" t="s">
        <v>14</v>
      </c>
      <c r="AF41" s="1784">
        <v>138.69999999999999</v>
      </c>
      <c r="AG41" s="1445"/>
      <c r="AH41" s="2435"/>
      <c r="AI41" s="1427">
        <f t="shared" si="8"/>
        <v>-122.2</v>
      </c>
      <c r="AJ41" s="1428"/>
      <c r="AK41" s="1463">
        <f t="shared" si="9"/>
        <v>-0.88100000000000001</v>
      </c>
      <c r="AL41" s="2372"/>
      <c r="AM41" s="2374"/>
      <c r="AO41" s="2374"/>
    </row>
    <row r="42" spans="1:41" s="2436" customFormat="1" ht="15" customHeight="1">
      <c r="A42" s="2434"/>
      <c r="B42" s="2210" t="s">
        <v>1538</v>
      </c>
      <c r="C42" s="2383"/>
      <c r="D42" s="3795">
        <v>0</v>
      </c>
      <c r="E42" s="1407"/>
      <c r="F42" s="3795">
        <v>0</v>
      </c>
      <c r="G42" s="1407"/>
      <c r="H42" s="1768">
        <v>0</v>
      </c>
      <c r="I42" s="1445"/>
      <c r="J42" s="1768">
        <v>0</v>
      </c>
      <c r="K42" s="1977"/>
      <c r="L42" s="1768">
        <v>0</v>
      </c>
      <c r="M42" s="1977"/>
      <c r="N42" s="1768">
        <v>0</v>
      </c>
      <c r="O42" s="1977"/>
      <c r="P42" s="1768">
        <v>0</v>
      </c>
      <c r="Q42" s="1977"/>
      <c r="R42" s="1768">
        <v>0</v>
      </c>
      <c r="S42" s="1977"/>
      <c r="T42" s="1768">
        <v>5081.7</v>
      </c>
      <c r="U42" s="1977"/>
      <c r="V42" s="1768">
        <f t="shared" si="7"/>
        <v>448.70000000000073</v>
      </c>
      <c r="W42" s="1977"/>
      <c r="X42" s="1768"/>
      <c r="Y42" s="1977"/>
      <c r="Z42" s="1768"/>
      <c r="AA42" s="1978"/>
      <c r="AB42" s="2027"/>
      <c r="AC42" s="1784">
        <v>5530.4000000000005</v>
      </c>
      <c r="AD42" s="2020"/>
      <c r="AE42" s="1981" t="s">
        <v>14</v>
      </c>
      <c r="AF42" s="1784">
        <v>0</v>
      </c>
      <c r="AG42" s="1445"/>
      <c r="AH42" s="2435"/>
      <c r="AI42" s="1427">
        <f t="shared" si="8"/>
        <v>5530.4</v>
      </c>
      <c r="AJ42" s="1428"/>
      <c r="AK42" s="1463">
        <f>ROUND(IF(AF42=0,1,AI42/ABS(AF42)),3)</f>
        <v>1</v>
      </c>
      <c r="AL42" s="2372"/>
      <c r="AM42" s="2374"/>
      <c r="AO42" s="2374"/>
    </row>
    <row r="43" spans="1:41" s="2436" customFormat="1" ht="15" customHeight="1">
      <c r="A43" s="2434"/>
      <c r="B43" s="2210" t="s">
        <v>1017</v>
      </c>
      <c r="C43" s="2383"/>
      <c r="D43" s="3795">
        <v>0</v>
      </c>
      <c r="E43" s="1407"/>
      <c r="F43" s="3795">
        <v>0</v>
      </c>
      <c r="G43" s="1407"/>
      <c r="H43" s="1768">
        <v>0</v>
      </c>
      <c r="I43" s="1445"/>
      <c r="J43" s="1768">
        <v>0</v>
      </c>
      <c r="K43" s="1977"/>
      <c r="L43" s="1768">
        <v>0</v>
      </c>
      <c r="M43" s="1977"/>
      <c r="N43" s="1768">
        <v>0</v>
      </c>
      <c r="O43" s="1977"/>
      <c r="P43" s="1768">
        <v>0</v>
      </c>
      <c r="Q43" s="1977"/>
      <c r="R43" s="1768">
        <v>0</v>
      </c>
      <c r="S43" s="1977"/>
      <c r="T43" s="1768">
        <v>0</v>
      </c>
      <c r="U43" s="1977"/>
      <c r="V43" s="1768">
        <f t="shared" si="7"/>
        <v>0</v>
      </c>
      <c r="W43" s="1977"/>
      <c r="X43" s="1768"/>
      <c r="Y43" s="1977"/>
      <c r="Z43" s="1768"/>
      <c r="AA43" s="1978"/>
      <c r="AB43" s="1981"/>
      <c r="AC43" s="1784">
        <v>0</v>
      </c>
      <c r="AD43" s="2020"/>
      <c r="AE43" s="1981" t="s">
        <v>14</v>
      </c>
      <c r="AF43" s="1784">
        <v>0</v>
      </c>
      <c r="AG43" s="1445"/>
      <c r="AH43" s="2435"/>
      <c r="AI43" s="1427">
        <f t="shared" si="8"/>
        <v>0</v>
      </c>
      <c r="AJ43" s="1428"/>
      <c r="AK43" s="1422">
        <f t="shared" si="9"/>
        <v>0</v>
      </c>
      <c r="AL43" s="2372"/>
      <c r="AM43" s="2374"/>
      <c r="AO43" s="2374"/>
    </row>
    <row r="44" spans="1:41" s="2436" customFormat="1" ht="15" customHeight="1">
      <c r="A44" s="2434"/>
      <c r="B44" s="2428" t="s">
        <v>1012</v>
      </c>
      <c r="C44" s="2383"/>
      <c r="D44" s="2430">
        <f>ROUND(SUM(D38:D43),1)</f>
        <v>729.6</v>
      </c>
      <c r="E44" s="1445"/>
      <c r="F44" s="2430">
        <f>ROUND(SUM(F38:F43),1)</f>
        <v>104.5</v>
      </c>
      <c r="G44" s="1445"/>
      <c r="H44" s="2430">
        <f>ROUND(SUM(H38:H43),1)</f>
        <v>1586.4</v>
      </c>
      <c r="I44" s="1445"/>
      <c r="J44" s="2430">
        <f>ROUND(SUM(J38:J43),1)</f>
        <v>228.7</v>
      </c>
      <c r="K44" s="1445"/>
      <c r="L44" s="1444">
        <f>ROUND(SUM(L38:L43),1)</f>
        <v>67.099999999999994</v>
      </c>
      <c r="M44" s="1445"/>
      <c r="N44" s="1444">
        <f>ROUND(SUM(N38:N43),1)</f>
        <v>1707.9</v>
      </c>
      <c r="O44" s="1445"/>
      <c r="P44" s="1444">
        <f>ROUND(SUM(P38:P43),1)</f>
        <v>70.400000000000006</v>
      </c>
      <c r="Q44" s="1445"/>
      <c r="R44" s="1444">
        <f>ROUND(SUM(R38:R43),1)</f>
        <v>-42.2</v>
      </c>
      <c r="S44" s="1445"/>
      <c r="T44" s="1444">
        <f>ROUND(SUM(T38:T43),1)</f>
        <v>6615.8</v>
      </c>
      <c r="U44" s="1445"/>
      <c r="V44" s="1444">
        <f>ROUND(SUM(V38:V43),1)</f>
        <v>653.29999999999995</v>
      </c>
      <c r="W44" s="1445"/>
      <c r="X44" s="1444">
        <f>ROUND(SUM(X38:X43),1)</f>
        <v>0</v>
      </c>
      <c r="Y44" s="1445"/>
      <c r="Z44" s="1444">
        <f>ROUND(SUM(Z38:Z43),1)</f>
        <v>0</v>
      </c>
      <c r="AA44" s="1989"/>
      <c r="AB44" s="2024"/>
      <c r="AC44" s="3094">
        <f>ROUND(SUM(AC38:AC43),1)</f>
        <v>11721.5</v>
      </c>
      <c r="AD44" s="2029"/>
      <c r="AE44" s="2508"/>
      <c r="AF44" s="1444">
        <f>ROUND(SUM(AF38:AF43),1)</f>
        <v>4440.3999999999996</v>
      </c>
      <c r="AG44" s="1445"/>
      <c r="AH44" s="2435"/>
      <c r="AI44" s="1444">
        <f>ROUND(SUM(AI38:AI43),1)</f>
        <v>7281.1</v>
      </c>
      <c r="AJ44" s="1428"/>
      <c r="AK44" s="1429">
        <f>ROUND(SUM(+AI44/AF44),3)</f>
        <v>1.64</v>
      </c>
      <c r="AL44" s="2372"/>
      <c r="AM44" s="2374"/>
      <c r="AO44" s="2374"/>
    </row>
    <row r="45" spans="1:41" s="2436" customFormat="1" ht="15" customHeight="1">
      <c r="A45" s="2434"/>
      <c r="B45" s="2418" t="s">
        <v>1052</v>
      </c>
      <c r="C45" s="2383"/>
      <c r="D45" s="1428"/>
      <c r="E45" s="1445"/>
      <c r="F45" s="1428"/>
      <c r="G45" s="1445"/>
      <c r="H45" s="1428"/>
      <c r="I45" s="1445"/>
      <c r="J45" s="1446"/>
      <c r="K45" s="1445"/>
      <c r="L45" s="1428"/>
      <c r="M45" s="1445"/>
      <c r="N45" s="1428"/>
      <c r="O45" s="1445"/>
      <c r="P45" s="1446"/>
      <c r="Q45" s="1445"/>
      <c r="R45" s="1428"/>
      <c r="S45" s="1445"/>
      <c r="T45" s="1428"/>
      <c r="U45" s="1445"/>
      <c r="V45" s="1428"/>
      <c r="W45" s="1445"/>
      <c r="X45" s="1428"/>
      <c r="Y45" s="1445"/>
      <c r="Z45" s="1428"/>
      <c r="AA45" s="1989"/>
      <c r="AB45" s="2024"/>
      <c r="AC45" s="1446"/>
      <c r="AD45" s="2029"/>
      <c r="AE45" s="2508"/>
      <c r="AF45" s="1446"/>
      <c r="AG45" s="1445"/>
      <c r="AH45" s="2435"/>
      <c r="AI45" s="1428"/>
      <c r="AJ45" s="1428"/>
      <c r="AK45" s="2433"/>
      <c r="AL45" s="2372"/>
      <c r="AM45" s="2374"/>
      <c r="AO45" s="2374"/>
    </row>
    <row r="46" spans="1:41" s="2436" customFormat="1" ht="15" customHeight="1">
      <c r="A46" s="2434"/>
      <c r="B46" s="2210" t="s">
        <v>1020</v>
      </c>
      <c r="C46" s="2383"/>
      <c r="D46" s="3795">
        <v>0</v>
      </c>
      <c r="E46" s="1407"/>
      <c r="F46" s="1768">
        <v>0</v>
      </c>
      <c r="G46" s="1407"/>
      <c r="H46" s="1768">
        <v>0</v>
      </c>
      <c r="I46" s="1445"/>
      <c r="J46" s="1768">
        <v>0</v>
      </c>
      <c r="K46" s="1977"/>
      <c r="L46" s="1768">
        <v>0</v>
      </c>
      <c r="M46" s="1977"/>
      <c r="N46" s="1768">
        <v>0</v>
      </c>
      <c r="O46" s="1977"/>
      <c r="P46" s="1768">
        <v>0</v>
      </c>
      <c r="Q46" s="1977"/>
      <c r="R46" s="1768">
        <v>0</v>
      </c>
      <c r="S46" s="1977"/>
      <c r="T46" s="1768">
        <v>0</v>
      </c>
      <c r="U46" s="1977"/>
      <c r="V46" s="1768">
        <f t="shared" ref="V46:V51" si="10">$AC46-$D46-$F46-L46-T46-R46-P46-N46-J46-H46</f>
        <v>0</v>
      </c>
      <c r="W46" s="1977"/>
      <c r="X46" s="1768"/>
      <c r="Y46" s="1977"/>
      <c r="Z46" s="1768"/>
      <c r="AA46" s="1978"/>
      <c r="AB46" s="1981"/>
      <c r="AC46" s="1784">
        <v>0</v>
      </c>
      <c r="AD46" s="2020"/>
      <c r="AE46" s="1981" t="s">
        <v>14</v>
      </c>
      <c r="AF46" s="1784">
        <v>0</v>
      </c>
      <c r="AG46" s="1445"/>
      <c r="AH46" s="2435"/>
      <c r="AI46" s="1427">
        <f t="shared" ref="AI46:AI50" si="11">ROUND(SUM(+AC46-AF46),1)</f>
        <v>0</v>
      </c>
      <c r="AJ46" s="1428"/>
      <c r="AK46" s="1422">
        <f t="shared" ref="AK46:AK49" si="12">ROUND(IF(AF46=0,0,AI46/ABS(AF46)),3)</f>
        <v>0</v>
      </c>
      <c r="AL46" s="2372"/>
      <c r="AM46" s="2374"/>
      <c r="AO46" s="2374"/>
    </row>
    <row r="47" spans="1:41" s="2436" customFormat="1" ht="15" customHeight="1">
      <c r="A47" s="2434"/>
      <c r="B47" s="2210" t="s">
        <v>1021</v>
      </c>
      <c r="C47" s="2383"/>
      <c r="D47" s="3795">
        <v>119.8</v>
      </c>
      <c r="E47" s="1407"/>
      <c r="F47" s="1768">
        <v>117.00000000000001</v>
      </c>
      <c r="G47" s="1407"/>
      <c r="H47" s="1768">
        <v>108.89999999999996</v>
      </c>
      <c r="I47" s="1445"/>
      <c r="J47" s="1768">
        <v>103.10000000000004</v>
      </c>
      <c r="K47" s="1977"/>
      <c r="L47" s="1768">
        <v>100.59999999999998</v>
      </c>
      <c r="M47" s="1977"/>
      <c r="N47" s="1768">
        <v>108.70000000000012</v>
      </c>
      <c r="O47" s="1977"/>
      <c r="P47" s="1768">
        <v>183.19999999999993</v>
      </c>
      <c r="Q47" s="1977"/>
      <c r="R47" s="1768">
        <v>92.500000000000014</v>
      </c>
      <c r="S47" s="1977"/>
      <c r="T47" s="1768">
        <v>111.10000000000015</v>
      </c>
      <c r="U47" s="1977"/>
      <c r="V47" s="1768">
        <f t="shared" si="10"/>
        <v>123.59999999999987</v>
      </c>
      <c r="W47" s="1977"/>
      <c r="X47" s="1768"/>
      <c r="Y47" s="1977"/>
      <c r="Z47" s="1768"/>
      <c r="AA47" s="1978"/>
      <c r="AB47" s="1981"/>
      <c r="AC47" s="1784">
        <v>1168.5</v>
      </c>
      <c r="AD47" s="2020"/>
      <c r="AE47" s="1981" t="s">
        <v>14</v>
      </c>
      <c r="AF47" s="1784">
        <v>1250</v>
      </c>
      <c r="AG47" s="1445"/>
      <c r="AH47" s="2435"/>
      <c r="AI47" s="1427">
        <f t="shared" si="11"/>
        <v>-81.5</v>
      </c>
      <c r="AJ47" s="1428"/>
      <c r="AK47" s="1422">
        <f t="shared" si="12"/>
        <v>-6.5000000000000002E-2</v>
      </c>
      <c r="AL47" s="2372"/>
      <c r="AM47" s="2374"/>
      <c r="AO47" s="2374"/>
    </row>
    <row r="48" spans="1:41" s="2436" customFormat="1" ht="15" customHeight="1">
      <c r="A48" s="2434"/>
      <c r="B48" s="2210" t="s">
        <v>1022</v>
      </c>
      <c r="C48" s="2383"/>
      <c r="D48" s="3795">
        <v>1.3</v>
      </c>
      <c r="E48" s="1407"/>
      <c r="F48" s="1768">
        <v>1.0999999999999999</v>
      </c>
      <c r="G48" s="1407"/>
      <c r="H48" s="1768">
        <v>1.1000000000000003</v>
      </c>
      <c r="I48" s="1445"/>
      <c r="J48" s="1768">
        <v>1.0999999999999999</v>
      </c>
      <c r="K48" s="1977"/>
      <c r="L48" s="1768">
        <v>2.1000000000000005</v>
      </c>
      <c r="M48" s="1977"/>
      <c r="N48" s="1768">
        <v>1.7000000000000004</v>
      </c>
      <c r="O48" s="1977"/>
      <c r="P48" s="1768">
        <v>0.99999999999999933</v>
      </c>
      <c r="Q48" s="1977"/>
      <c r="R48" s="1768">
        <v>1.0999999999999999</v>
      </c>
      <c r="S48" s="1977"/>
      <c r="T48" s="1768">
        <v>0.80000000000000093</v>
      </c>
      <c r="U48" s="1977"/>
      <c r="V48" s="1768">
        <f t="shared" si="10"/>
        <v>0.79999999999999893</v>
      </c>
      <c r="W48" s="1977"/>
      <c r="X48" s="1768"/>
      <c r="Y48" s="1977"/>
      <c r="Z48" s="1768"/>
      <c r="AA48" s="1978"/>
      <c r="AB48" s="1981"/>
      <c r="AC48" s="1784">
        <v>12.1</v>
      </c>
      <c r="AD48" s="2020"/>
      <c r="AE48" s="1981" t="s">
        <v>14</v>
      </c>
      <c r="AF48" s="1784">
        <v>8.6999999999999993</v>
      </c>
      <c r="AG48" s="1445"/>
      <c r="AH48" s="2435"/>
      <c r="AI48" s="1427">
        <f t="shared" si="11"/>
        <v>3.4</v>
      </c>
      <c r="AJ48" s="1428"/>
      <c r="AK48" s="1422">
        <f t="shared" si="12"/>
        <v>0.39100000000000001</v>
      </c>
      <c r="AL48" s="2372"/>
      <c r="AM48" s="2374"/>
      <c r="AO48" s="2374"/>
    </row>
    <row r="49" spans="1:41" s="2436" customFormat="1" ht="15" customHeight="1">
      <c r="A49" s="2434"/>
      <c r="B49" s="2210" t="s">
        <v>1023</v>
      </c>
      <c r="C49" s="2383"/>
      <c r="D49" s="3795">
        <v>0</v>
      </c>
      <c r="E49" s="1407"/>
      <c r="F49" s="1768">
        <v>0</v>
      </c>
      <c r="G49" s="1407"/>
      <c r="H49" s="1768">
        <v>0</v>
      </c>
      <c r="I49" s="1445"/>
      <c r="J49" s="1768">
        <v>0</v>
      </c>
      <c r="K49" s="1977"/>
      <c r="L49" s="1768">
        <v>0</v>
      </c>
      <c r="M49" s="1977"/>
      <c r="N49" s="1768">
        <v>0</v>
      </c>
      <c r="O49" s="1977"/>
      <c r="P49" s="1768">
        <v>0</v>
      </c>
      <c r="Q49" s="1977"/>
      <c r="R49" s="1768">
        <v>0</v>
      </c>
      <c r="S49" s="1977"/>
      <c r="T49" s="1768">
        <v>0</v>
      </c>
      <c r="U49" s="1977"/>
      <c r="V49" s="1768">
        <f t="shared" si="10"/>
        <v>0</v>
      </c>
      <c r="W49" s="1977"/>
      <c r="X49" s="1768"/>
      <c r="Y49" s="1977"/>
      <c r="Z49" s="1768"/>
      <c r="AA49" s="1978"/>
      <c r="AB49" s="1981"/>
      <c r="AC49" s="1784">
        <v>0</v>
      </c>
      <c r="AD49" s="2020">
        <f>'Exhibit F'!AF1212</f>
        <v>0</v>
      </c>
      <c r="AE49" s="1981" t="s">
        <v>14</v>
      </c>
      <c r="AF49" s="1784">
        <v>0</v>
      </c>
      <c r="AG49" s="1445"/>
      <c r="AH49" s="2435"/>
      <c r="AI49" s="1427">
        <f t="shared" si="11"/>
        <v>0</v>
      </c>
      <c r="AJ49" s="1428"/>
      <c r="AK49" s="1422">
        <f t="shared" si="12"/>
        <v>0</v>
      </c>
      <c r="AL49" s="2372"/>
      <c r="AM49" s="2374"/>
      <c r="AO49" s="2374"/>
    </row>
    <row r="50" spans="1:41" s="2436" customFormat="1" ht="15" customHeight="1">
      <c r="A50" s="2434"/>
      <c r="B50" s="2210" t="s">
        <v>1541</v>
      </c>
      <c r="C50" s="2383"/>
      <c r="D50" s="3795">
        <v>0</v>
      </c>
      <c r="E50" s="1407"/>
      <c r="F50" s="1768">
        <v>0</v>
      </c>
      <c r="G50" s="1407"/>
      <c r="H50" s="1768">
        <v>0</v>
      </c>
      <c r="I50" s="1445"/>
      <c r="J50" s="1768">
        <v>0</v>
      </c>
      <c r="K50" s="1977"/>
      <c r="L50" s="1768">
        <v>0.1</v>
      </c>
      <c r="M50" s="1977"/>
      <c r="N50" s="1768">
        <v>0.19999999999999998</v>
      </c>
      <c r="O50" s="1977"/>
      <c r="P50" s="1768">
        <v>0.10000000000000003</v>
      </c>
      <c r="Q50" s="1977"/>
      <c r="R50" s="1768">
        <v>0.79999999999999993</v>
      </c>
      <c r="S50" s="1977"/>
      <c r="T50" s="1768">
        <v>9.9999999999999867E-2</v>
      </c>
      <c r="U50" s="1977"/>
      <c r="V50" s="1768">
        <f t="shared" si="10"/>
        <v>0.1</v>
      </c>
      <c r="W50" s="1977"/>
      <c r="X50" s="1768"/>
      <c r="Y50" s="1977"/>
      <c r="Z50" s="1768"/>
      <c r="AA50" s="1978"/>
      <c r="AB50" s="1981"/>
      <c r="AC50" s="1784">
        <v>1.4</v>
      </c>
      <c r="AD50" s="2020"/>
      <c r="AE50" s="1981" t="s">
        <v>14</v>
      </c>
      <c r="AF50" s="1784">
        <v>0.1</v>
      </c>
      <c r="AG50" s="1445"/>
      <c r="AH50" s="2435"/>
      <c r="AI50" s="1427">
        <f t="shared" si="11"/>
        <v>1.3</v>
      </c>
      <c r="AJ50" s="1428"/>
      <c r="AK50" s="3911">
        <f>ROUND(IF(AF50=0,1,AI50/ABS(AF50)),3)</f>
        <v>13</v>
      </c>
      <c r="AL50" s="2372"/>
      <c r="AM50" s="2374"/>
      <c r="AO50" s="2374"/>
    </row>
    <row r="51" spans="1:41" s="2436" customFormat="1" ht="15" customHeight="1">
      <c r="A51" s="2434"/>
      <c r="B51" s="2425" t="s">
        <v>1270</v>
      </c>
      <c r="C51" s="2420"/>
      <c r="D51" s="3795">
        <v>0.1</v>
      </c>
      <c r="E51" s="1407"/>
      <c r="F51" s="1768">
        <v>0.1</v>
      </c>
      <c r="G51" s="1407"/>
      <c r="H51" s="1768">
        <v>9.9999999999999978E-2</v>
      </c>
      <c r="I51" s="2424"/>
      <c r="J51" s="1768">
        <v>0.20000000000000007</v>
      </c>
      <c r="K51" s="1977"/>
      <c r="L51" s="1768">
        <v>9.9999999999999978E-2</v>
      </c>
      <c r="M51" s="1977"/>
      <c r="N51" s="1768">
        <v>0.20000000000000007</v>
      </c>
      <c r="O51" s="1977"/>
      <c r="P51" s="1768">
        <v>0.19999999999999996</v>
      </c>
      <c r="Q51" s="1977"/>
      <c r="R51" s="1768">
        <v>0.19999999999999984</v>
      </c>
      <c r="S51" s="1977"/>
      <c r="T51" s="1768">
        <v>2.3999999999999995</v>
      </c>
      <c r="U51" s="1977"/>
      <c r="V51" s="1768">
        <f t="shared" si="10"/>
        <v>2.6000000000000019</v>
      </c>
      <c r="W51" s="1977"/>
      <c r="X51" s="1768"/>
      <c r="Y51" s="1977"/>
      <c r="Z51" s="1768"/>
      <c r="AA51" s="1978"/>
      <c r="AB51" s="1981"/>
      <c r="AC51" s="1784">
        <v>6.2</v>
      </c>
      <c r="AD51" s="2020"/>
      <c r="AE51" s="1981" t="s">
        <v>14</v>
      </c>
      <c r="AF51" s="1784">
        <v>1.4</v>
      </c>
      <c r="AG51" s="2163"/>
      <c r="AH51" s="2422"/>
      <c r="AI51" s="1979">
        <f>ROUND(SUM(+AC51-AF51),1)</f>
        <v>4.8</v>
      </c>
      <c r="AJ51" s="2423"/>
      <c r="AK51" s="1703">
        <f>ROUND(IF(AF51=0,1,AI51/ABS(AF51)),3)</f>
        <v>3.4289999999999998</v>
      </c>
      <c r="AL51" s="2372"/>
      <c r="AM51" s="2374"/>
      <c r="AO51" s="2374"/>
    </row>
    <row r="52" spans="1:41" s="2436" customFormat="1" ht="15" customHeight="1">
      <c r="A52" s="2434"/>
      <c r="B52" s="2428" t="s">
        <v>1018</v>
      </c>
      <c r="C52" s="2383"/>
      <c r="D52" s="2430">
        <f>ROUND(SUM(D46:D51),1)</f>
        <v>121.2</v>
      </c>
      <c r="E52" s="1445"/>
      <c r="F52" s="2430">
        <f>ROUND(SUM(F46:F51),1)</f>
        <v>118.2</v>
      </c>
      <c r="G52" s="1445"/>
      <c r="H52" s="2430">
        <f>ROUND(SUM(H46:H51),1)</f>
        <v>110.1</v>
      </c>
      <c r="I52" s="1445"/>
      <c r="J52" s="2430">
        <f>ROUND(SUM(J46:J51),1)</f>
        <v>104.4</v>
      </c>
      <c r="K52" s="1445"/>
      <c r="L52" s="1444">
        <f>ROUND(SUM(L46:L51),1)</f>
        <v>102.9</v>
      </c>
      <c r="M52" s="1445"/>
      <c r="N52" s="1444">
        <f>ROUND(SUM(N46:N51),1)</f>
        <v>110.8</v>
      </c>
      <c r="O52" s="1445"/>
      <c r="P52" s="1444">
        <f>ROUND(SUM(P46:P51),1)</f>
        <v>184.5</v>
      </c>
      <c r="Q52" s="1445"/>
      <c r="R52" s="1444">
        <f>ROUND(SUM(R46:R51),1)</f>
        <v>94.6</v>
      </c>
      <c r="S52" s="1445"/>
      <c r="T52" s="1444">
        <f>ROUND(SUM(T46:T51),1)</f>
        <v>114.4</v>
      </c>
      <c r="U52" s="1445"/>
      <c r="V52" s="1444">
        <f>ROUND(SUM(V46:V51),1)</f>
        <v>127.1</v>
      </c>
      <c r="W52" s="1445"/>
      <c r="X52" s="1444">
        <f>ROUND(SUM(X46:X51),1)</f>
        <v>0</v>
      </c>
      <c r="Y52" s="1445"/>
      <c r="Z52" s="1444">
        <f>ROUND(SUM(Z46:Z51),1)</f>
        <v>0</v>
      </c>
      <c r="AA52" s="1989"/>
      <c r="AB52" s="2024"/>
      <c r="AC52" s="3094">
        <f>ROUND(SUM(AC46:AC51),1)</f>
        <v>1188.2</v>
      </c>
      <c r="AD52" s="2029"/>
      <c r="AE52" s="2508"/>
      <c r="AF52" s="1444">
        <f>ROUND(SUM(AF46:AF51),1)</f>
        <v>1260.2</v>
      </c>
      <c r="AG52" s="1445"/>
      <c r="AH52" s="2435"/>
      <c r="AI52" s="1444">
        <f>ROUND(SUM(AI46:AI51),1)</f>
        <v>-72</v>
      </c>
      <c r="AJ52" s="1428"/>
      <c r="AK52" s="1429">
        <f>ROUND(SUM(+AI52/AF52),3)</f>
        <v>-5.7000000000000002E-2</v>
      </c>
      <c r="AL52" s="2372"/>
      <c r="AM52" s="2374"/>
      <c r="AO52" s="2374"/>
    </row>
    <row r="53" spans="1:41" s="2436" customFormat="1" ht="15" customHeight="1">
      <c r="A53" s="2434"/>
      <c r="B53" s="2428"/>
      <c r="C53" s="2383"/>
      <c r="D53" s="1428"/>
      <c r="E53" s="1445"/>
      <c r="F53" s="1428"/>
      <c r="G53" s="1428"/>
      <c r="H53" s="1428"/>
      <c r="I53" s="1428"/>
      <c r="J53" s="1446"/>
      <c r="K53" s="1428"/>
      <c r="L53" s="1428"/>
      <c r="M53" s="1428"/>
      <c r="N53" s="1428"/>
      <c r="O53" s="1428"/>
      <c r="P53" s="1446"/>
      <c r="Q53" s="1428"/>
      <c r="R53" s="1428"/>
      <c r="S53" s="1428"/>
      <c r="T53" s="1428"/>
      <c r="U53" s="1428"/>
      <c r="V53" s="1428"/>
      <c r="W53" s="1428"/>
      <c r="X53" s="1446"/>
      <c r="Y53" s="1428"/>
      <c r="Z53" s="1446"/>
      <c r="AA53" s="1989"/>
      <c r="AB53" s="2024"/>
      <c r="AC53" s="1446"/>
      <c r="AD53" s="2029"/>
      <c r="AE53" s="2508"/>
      <c r="AF53" s="1446"/>
      <c r="AG53" s="1445"/>
      <c r="AH53" s="2435"/>
      <c r="AI53" s="1428"/>
      <c r="AJ53" s="1428"/>
      <c r="AK53" s="2433"/>
      <c r="AL53" s="2372"/>
      <c r="AM53" s="2374"/>
      <c r="AO53" s="2374"/>
    </row>
    <row r="54" spans="1:41" ht="15" customHeight="1">
      <c r="A54" s="2406"/>
      <c r="B54" s="2428" t="s">
        <v>1019</v>
      </c>
      <c r="C54" s="2001"/>
      <c r="D54" s="2437">
        <f>ROUND(SUM(D26+D36+D44+D52),1)</f>
        <v>4464.8</v>
      </c>
      <c r="E54" s="1427"/>
      <c r="F54" s="2437">
        <f>ROUND(SUM(F26+F36+F44+F52),1)</f>
        <v>5481.5</v>
      </c>
      <c r="G54" s="1427"/>
      <c r="H54" s="2437">
        <f>ROUND(SUM(H26+H36+H44+H52),1)</f>
        <v>5057.2</v>
      </c>
      <c r="I54" s="1427"/>
      <c r="J54" s="2437">
        <f>ROUND(SUM(J26+J36+J44+J52),1)</f>
        <v>2402.6999999999998</v>
      </c>
      <c r="K54" s="1985"/>
      <c r="L54" s="1962">
        <f>ROUND(SUM(L26+L36+L44+L52),1)</f>
        <v>2432.8000000000002</v>
      </c>
      <c r="M54" s="1985"/>
      <c r="N54" s="1962">
        <f>ROUND(SUM(N26+N36+N44+N52),1)</f>
        <v>5503.6</v>
      </c>
      <c r="O54" s="1985"/>
      <c r="P54" s="1962">
        <f>ROUND(SUM(P26+P36+P44+P52),1)</f>
        <v>2312.4</v>
      </c>
      <c r="Q54" s="1985"/>
      <c r="R54" s="1962">
        <f>ROUND(SUM(R26+R36+R44+R52),1)</f>
        <v>2212.6</v>
      </c>
      <c r="S54" s="1985"/>
      <c r="T54" s="1962">
        <f>ROUND(SUM(T26+T36+T44+T52),1)</f>
        <v>10320.200000000001</v>
      </c>
      <c r="U54" s="1985"/>
      <c r="V54" s="1962">
        <f>ROUND(SUM(V26+V36+V44+V52),1)</f>
        <v>4555.7</v>
      </c>
      <c r="W54" s="1985"/>
      <c r="X54" s="1962">
        <f>ROUND(SUM(X26+X36+X44+X52),1)</f>
        <v>0</v>
      </c>
      <c r="Y54" s="1985"/>
      <c r="Z54" s="1962">
        <f>ROUND(SUM(Z26+Z36+Z44+Z52),1)</f>
        <v>0</v>
      </c>
      <c r="AA54" s="1447"/>
      <c r="AB54" s="2022"/>
      <c r="AC54" s="3096">
        <f>ROUND(SUM(AC26+AC36+AC44+AC52),1)</f>
        <v>44743.5</v>
      </c>
      <c r="AD54" s="1974"/>
      <c r="AE54" s="2018"/>
      <c r="AF54" s="1962">
        <f>ROUND(SUM(AF26+AF36+AF44+AF52),1)</f>
        <v>32873.199999999997</v>
      </c>
      <c r="AG54" s="1985"/>
      <c r="AH54" s="2431"/>
      <c r="AI54" s="1962">
        <f>ROUND(SUM(AI26+AI36+AI44+AI52),1)</f>
        <v>11870.3</v>
      </c>
      <c r="AJ54" s="2432"/>
      <c r="AK54" s="1419">
        <f>ROUND(SUM(+AI54/AF54),3)</f>
        <v>0.36099999999999999</v>
      </c>
      <c r="AM54" s="2374"/>
      <c r="AO54" s="2374"/>
    </row>
    <row r="55" spans="1:41" ht="8.25" customHeight="1">
      <c r="A55" s="2406"/>
      <c r="B55" s="2424"/>
      <c r="C55" s="2001"/>
      <c r="D55" s="1427"/>
      <c r="E55" s="1427"/>
      <c r="F55" s="1427"/>
      <c r="G55" s="1427"/>
      <c r="H55" s="1427"/>
      <c r="I55" s="1427"/>
      <c r="J55" s="1979"/>
      <c r="K55" s="1985"/>
      <c r="L55" s="1985"/>
      <c r="M55" s="1985"/>
      <c r="N55" s="1985"/>
      <c r="O55" s="1985"/>
      <c r="P55" s="1974"/>
      <c r="Q55" s="1985"/>
      <c r="R55" s="1985"/>
      <c r="S55" s="1985"/>
      <c r="T55" s="1985"/>
      <c r="U55" s="1985"/>
      <c r="V55" s="1985"/>
      <c r="W55" s="1985"/>
      <c r="X55" s="1985"/>
      <c r="Y55" s="1985"/>
      <c r="Z55" s="1985"/>
      <c r="AA55" s="1447"/>
      <c r="AB55" s="2022"/>
      <c r="AC55" s="1979"/>
      <c r="AD55" s="1974"/>
      <c r="AE55" s="2018"/>
      <c r="AF55" s="1974"/>
      <c r="AG55" s="1985"/>
      <c r="AH55" s="2431"/>
      <c r="AI55" s="1427"/>
      <c r="AJ55" s="2432"/>
      <c r="AK55" s="1416"/>
      <c r="AM55" s="2374"/>
      <c r="AO55" s="2374"/>
    </row>
    <row r="56" spans="1:41" ht="15" customHeight="1">
      <c r="A56" s="2406"/>
      <c r="B56" s="2417" t="s">
        <v>929</v>
      </c>
      <c r="C56" s="2438"/>
      <c r="D56" s="1427"/>
      <c r="E56" s="2439"/>
      <c r="F56" s="1427"/>
      <c r="G56" s="2439"/>
      <c r="H56" s="1427"/>
      <c r="I56" s="1427"/>
      <c r="J56" s="1979"/>
      <c r="K56" s="1985"/>
      <c r="L56" s="1985"/>
      <c r="M56" s="1985"/>
      <c r="N56" s="1985"/>
      <c r="O56" s="1985"/>
      <c r="P56" s="1974"/>
      <c r="Q56" s="1985"/>
      <c r="R56" s="1985"/>
      <c r="S56" s="1985"/>
      <c r="T56" s="1985"/>
      <c r="U56" s="1985"/>
      <c r="V56" s="1985"/>
      <c r="W56" s="1985"/>
      <c r="X56" s="1985"/>
      <c r="Y56" s="1985"/>
      <c r="Z56" s="1985"/>
      <c r="AA56" s="1447"/>
      <c r="AB56" s="2022"/>
      <c r="AC56" s="1979"/>
      <c r="AD56" s="1974"/>
      <c r="AE56" s="2018"/>
      <c r="AF56" s="1974"/>
      <c r="AG56" s="1985"/>
      <c r="AH56" s="2431"/>
      <c r="AI56" s="1427"/>
      <c r="AJ56" s="2432"/>
      <c r="AK56" s="1416"/>
      <c r="AM56" s="2374"/>
      <c r="AO56" s="2374"/>
    </row>
    <row r="57" spans="1:41" ht="15" customHeight="1">
      <c r="A57" s="2406"/>
      <c r="B57" s="2440" t="s">
        <v>1044</v>
      </c>
      <c r="C57" s="2438"/>
      <c r="D57" s="1427"/>
      <c r="E57" s="2439"/>
      <c r="F57" s="1427"/>
      <c r="G57" s="2439"/>
      <c r="H57" s="1427"/>
      <c r="I57" s="1427"/>
      <c r="J57" s="1979"/>
      <c r="K57" s="1985"/>
      <c r="L57" s="1985"/>
      <c r="M57" s="1985"/>
      <c r="N57" s="1985"/>
      <c r="O57" s="1985"/>
      <c r="P57" s="1974"/>
      <c r="Q57" s="1985"/>
      <c r="R57" s="1985"/>
      <c r="S57" s="1985"/>
      <c r="T57" s="1985"/>
      <c r="U57" s="1985"/>
      <c r="V57" s="1985"/>
      <c r="W57" s="1985"/>
      <c r="X57" s="1985"/>
      <c r="Y57" s="1985"/>
      <c r="Z57" s="1985"/>
      <c r="AA57" s="1447"/>
      <c r="AB57" s="2025"/>
      <c r="AC57" s="1979"/>
      <c r="AD57" s="1974"/>
      <c r="AE57" s="2018"/>
      <c r="AF57" s="1979"/>
      <c r="AG57" s="1985"/>
      <c r="AH57" s="2431"/>
      <c r="AI57" s="1427"/>
      <c r="AJ57" s="2432"/>
      <c r="AK57" s="1416"/>
      <c r="AM57" s="2374"/>
      <c r="AO57" s="2374"/>
    </row>
    <row r="58" spans="1:41" ht="15" customHeight="1">
      <c r="A58" s="2406"/>
      <c r="B58" s="2440" t="s">
        <v>927</v>
      </c>
      <c r="C58" s="2440"/>
      <c r="D58" s="3795">
        <v>0.4</v>
      </c>
      <c r="E58" s="2439"/>
      <c r="F58" s="1768">
        <v>0</v>
      </c>
      <c r="G58" s="2439"/>
      <c r="H58" s="1768">
        <v>0</v>
      </c>
      <c r="I58" s="1427"/>
      <c r="J58" s="1768">
        <v>0</v>
      </c>
      <c r="K58" s="1977"/>
      <c r="L58" s="1768">
        <v>10</v>
      </c>
      <c r="M58" s="1977"/>
      <c r="N58" s="1768">
        <v>100</v>
      </c>
      <c r="O58" s="1977"/>
      <c r="P58" s="1768">
        <v>0</v>
      </c>
      <c r="Q58" s="1977"/>
      <c r="R58" s="1768">
        <v>225</v>
      </c>
      <c r="S58" s="1977"/>
      <c r="T58" s="1768">
        <v>0</v>
      </c>
      <c r="U58" s="1977"/>
      <c r="V58" s="1768">
        <f t="shared" ref="V58:V92" si="13">$AC58-$D58-$F58-L58-T58-R58-P58-N58-J58-H58</f>
        <v>0</v>
      </c>
      <c r="W58" s="1977"/>
      <c r="X58" s="1768"/>
      <c r="Y58" s="1977"/>
      <c r="Z58" s="1768"/>
      <c r="AA58" s="1978"/>
      <c r="AB58" s="1981"/>
      <c r="AC58" s="1784">
        <v>335.4</v>
      </c>
      <c r="AD58" s="2020"/>
      <c r="AE58" s="1981" t="s">
        <v>14</v>
      </c>
      <c r="AF58" s="1784">
        <v>371.1</v>
      </c>
      <c r="AG58" s="2441"/>
      <c r="AH58" s="2442"/>
      <c r="AI58" s="1427">
        <f>ROUND(SUM(+AC58-AF58),1)</f>
        <v>-35.700000000000003</v>
      </c>
      <c r="AJ58" s="2432"/>
      <c r="AK58" s="1422">
        <f>ROUND(IF(AF58=0,1,AI58/ABS(AF58)),3)</f>
        <v>-9.6000000000000002E-2</v>
      </c>
      <c r="AM58" s="2374"/>
      <c r="AO58" s="2374"/>
    </row>
    <row r="59" spans="1:41" ht="15" customHeight="1">
      <c r="A59" s="2406"/>
      <c r="B59" s="2440" t="s">
        <v>928</v>
      </c>
      <c r="C59" s="2440"/>
      <c r="D59" s="3795">
        <v>1</v>
      </c>
      <c r="E59" s="2439"/>
      <c r="F59" s="1768">
        <v>0.30000000000000004</v>
      </c>
      <c r="G59" s="2439"/>
      <c r="H59" s="1768">
        <v>8.1</v>
      </c>
      <c r="I59" s="1427"/>
      <c r="J59" s="1768">
        <v>2</v>
      </c>
      <c r="K59" s="1977"/>
      <c r="L59" s="1768">
        <v>0.19999999999999929</v>
      </c>
      <c r="M59" s="1977"/>
      <c r="N59" s="1768">
        <v>34.9</v>
      </c>
      <c r="O59" s="1977"/>
      <c r="P59" s="1768">
        <v>1.5000000000000053</v>
      </c>
      <c r="Q59" s="1977"/>
      <c r="R59" s="1768">
        <v>0.70000000000000107</v>
      </c>
      <c r="S59" s="1977"/>
      <c r="T59" s="1768">
        <v>29.300000000000004</v>
      </c>
      <c r="U59" s="1977"/>
      <c r="V59" s="1768">
        <f t="shared" si="13"/>
        <v>0.89999999999999325</v>
      </c>
      <c r="W59" s="1977"/>
      <c r="X59" s="1768"/>
      <c r="Y59" s="1977"/>
      <c r="Z59" s="1768"/>
      <c r="AA59" s="1978"/>
      <c r="AB59" s="1981"/>
      <c r="AC59" s="1784">
        <v>78.900000000000006</v>
      </c>
      <c r="AD59" s="2020"/>
      <c r="AE59" s="1981" t="s">
        <v>14</v>
      </c>
      <c r="AF59" s="1784">
        <v>85.3</v>
      </c>
      <c r="AG59" s="1986"/>
      <c r="AH59" s="2431"/>
      <c r="AI59" s="1427">
        <f>ROUND(SUM(+AC59-AF59),1)</f>
        <v>-6.4</v>
      </c>
      <c r="AJ59" s="2432"/>
      <c r="AK59" s="1422">
        <f>ROUND(IF(AF59=0,0,AI59/ABS(AF59)),3)</f>
        <v>-7.4999999999999997E-2</v>
      </c>
      <c r="AM59" s="2374"/>
      <c r="AO59" s="2374"/>
    </row>
    <row r="60" spans="1:41" ht="15" customHeight="1">
      <c r="A60" s="2406"/>
      <c r="B60" s="2440" t="s">
        <v>1045</v>
      </c>
      <c r="C60" s="2440"/>
      <c r="D60" s="3795"/>
      <c r="E60" s="2439"/>
      <c r="F60" s="1768" t="s">
        <v>14</v>
      </c>
      <c r="G60" s="2439"/>
      <c r="H60" s="1768" t="s">
        <v>14</v>
      </c>
      <c r="I60" s="1427"/>
      <c r="J60" s="1768"/>
      <c r="K60" s="1974"/>
      <c r="L60" s="1768"/>
      <c r="M60" s="1974"/>
      <c r="N60" s="1768"/>
      <c r="O60" s="1974"/>
      <c r="P60" s="1768"/>
      <c r="Q60" s="1974"/>
      <c r="R60" s="1768"/>
      <c r="S60" s="1974"/>
      <c r="T60" s="1768"/>
      <c r="U60" s="1974"/>
      <c r="V60" s="1768"/>
      <c r="W60" s="1974"/>
      <c r="X60" s="1768"/>
      <c r="Y60" s="1974"/>
      <c r="Z60" s="1768"/>
      <c r="AA60" s="1970"/>
      <c r="AB60" s="2026"/>
      <c r="AC60" s="3097"/>
      <c r="AD60" s="1956"/>
      <c r="AE60" s="1976"/>
      <c r="AF60" s="3097"/>
      <c r="AG60" s="1986"/>
      <c r="AH60" s="2431"/>
      <c r="AI60" s="1427"/>
      <c r="AJ60" s="2432"/>
      <c r="AK60" s="1416"/>
      <c r="AM60" s="2374"/>
      <c r="AO60" s="2374"/>
    </row>
    <row r="61" spans="1:41" ht="15" customHeight="1">
      <c r="A61" s="2406"/>
      <c r="B61" s="2440" t="s">
        <v>932</v>
      </c>
      <c r="C61" s="2440"/>
      <c r="D61" s="3795">
        <v>0</v>
      </c>
      <c r="E61" s="2439"/>
      <c r="F61" s="1768">
        <v>0</v>
      </c>
      <c r="G61" s="2439"/>
      <c r="H61" s="1768">
        <v>0</v>
      </c>
      <c r="I61" s="1427"/>
      <c r="J61" s="1768">
        <v>0</v>
      </c>
      <c r="K61" s="1977"/>
      <c r="L61" s="1768">
        <v>0</v>
      </c>
      <c r="M61" s="1977"/>
      <c r="N61" s="1768">
        <v>0</v>
      </c>
      <c r="O61" s="1977"/>
      <c r="P61" s="1768">
        <v>0</v>
      </c>
      <c r="Q61" s="1977"/>
      <c r="R61" s="1768">
        <v>0</v>
      </c>
      <c r="S61" s="1977"/>
      <c r="T61" s="1768">
        <v>0</v>
      </c>
      <c r="U61" s="1977"/>
      <c r="V61" s="1768">
        <f t="shared" si="13"/>
        <v>0</v>
      </c>
      <c r="W61" s="1977"/>
      <c r="X61" s="1768"/>
      <c r="Y61" s="1977"/>
      <c r="Z61" s="1768"/>
      <c r="AA61" s="1978"/>
      <c r="AB61" s="1981"/>
      <c r="AC61" s="1784">
        <v>0</v>
      </c>
      <c r="AD61" s="2020"/>
      <c r="AE61" s="1981" t="s">
        <v>14</v>
      </c>
      <c r="AF61" s="1784">
        <v>0</v>
      </c>
      <c r="AG61" s="2441"/>
      <c r="AH61" s="2442"/>
      <c r="AI61" s="1427">
        <f>ROUND(SUM(+AC61-AF61),1)</f>
        <v>0</v>
      </c>
      <c r="AJ61" s="2432"/>
      <c r="AK61" s="1422">
        <f>ROUND(IF(AF61=0,0,AI61/ABS(AF61)),3)</f>
        <v>0</v>
      </c>
      <c r="AM61" s="2374"/>
      <c r="AO61" s="2374"/>
    </row>
    <row r="62" spans="1:41" ht="15" customHeight="1">
      <c r="A62" s="2406"/>
      <c r="B62" s="2440" t="s">
        <v>933</v>
      </c>
      <c r="C62" s="2440"/>
      <c r="D62" s="3795">
        <v>1.8</v>
      </c>
      <c r="E62" s="2439"/>
      <c r="F62" s="1768">
        <v>3.8</v>
      </c>
      <c r="G62" s="2439"/>
      <c r="H62" s="1768">
        <v>4.2</v>
      </c>
      <c r="I62" s="1427"/>
      <c r="J62" s="1768">
        <v>0</v>
      </c>
      <c r="K62" s="1977"/>
      <c r="L62" s="1768">
        <v>6.1000000000000005</v>
      </c>
      <c r="M62" s="1977"/>
      <c r="N62" s="1768">
        <v>2.6999999999999993</v>
      </c>
      <c r="O62" s="1977"/>
      <c r="P62" s="1768">
        <v>0</v>
      </c>
      <c r="Q62" s="1977"/>
      <c r="R62" s="1768">
        <v>2.2999999999999972</v>
      </c>
      <c r="S62" s="1977"/>
      <c r="T62" s="1768">
        <v>3.5</v>
      </c>
      <c r="U62" s="1977"/>
      <c r="V62" s="1768">
        <f t="shared" si="13"/>
        <v>8.5</v>
      </c>
      <c r="W62" s="1977"/>
      <c r="X62" s="1768"/>
      <c r="Y62" s="1977"/>
      <c r="Z62" s="1768"/>
      <c r="AA62" s="1978"/>
      <c r="AB62" s="1981"/>
      <c r="AC62" s="1784">
        <v>32.9</v>
      </c>
      <c r="AD62" s="2020"/>
      <c r="AE62" s="1981" t="s">
        <v>14</v>
      </c>
      <c r="AF62" s="1784">
        <v>34.6</v>
      </c>
      <c r="AG62" s="2441"/>
      <c r="AH62" s="2442"/>
      <c r="AI62" s="1427">
        <f>ROUND(SUM(+AC62-AF62),1)</f>
        <v>-1.7</v>
      </c>
      <c r="AJ62" s="2432"/>
      <c r="AK62" s="1422">
        <f>ROUND(IF(AF62=0,1,AI62/ABS(AF62)),3)</f>
        <v>-4.9000000000000002E-2</v>
      </c>
      <c r="AM62" s="2374"/>
      <c r="AO62" s="2374"/>
    </row>
    <row r="63" spans="1:41" ht="15" customHeight="1">
      <c r="A63" s="2406"/>
      <c r="B63" s="2440" t="s">
        <v>934</v>
      </c>
      <c r="C63" s="2440"/>
      <c r="D63" s="3795">
        <v>0</v>
      </c>
      <c r="E63" s="2439"/>
      <c r="F63" s="1768">
        <v>0</v>
      </c>
      <c r="G63" s="2439"/>
      <c r="H63" s="1768">
        <v>0</v>
      </c>
      <c r="I63" s="1427"/>
      <c r="J63" s="1768">
        <v>0</v>
      </c>
      <c r="K63" s="1977"/>
      <c r="L63" s="1768">
        <v>0</v>
      </c>
      <c r="M63" s="1977"/>
      <c r="N63" s="1768">
        <v>0</v>
      </c>
      <c r="O63" s="1977"/>
      <c r="P63" s="1768">
        <v>0</v>
      </c>
      <c r="Q63" s="1977"/>
      <c r="R63" s="1768">
        <v>0</v>
      </c>
      <c r="S63" s="1977"/>
      <c r="T63" s="1768">
        <v>0</v>
      </c>
      <c r="U63" s="1977"/>
      <c r="V63" s="1768">
        <f t="shared" si="13"/>
        <v>0</v>
      </c>
      <c r="W63" s="1977"/>
      <c r="X63" s="1768"/>
      <c r="Y63" s="1977"/>
      <c r="Z63" s="1768"/>
      <c r="AA63" s="1978"/>
      <c r="AB63" s="1981"/>
      <c r="AC63" s="1784">
        <v>0</v>
      </c>
      <c r="AD63" s="2020"/>
      <c r="AE63" s="1981" t="s">
        <v>14</v>
      </c>
      <c r="AF63" s="1784">
        <v>0</v>
      </c>
      <c r="AG63" s="2441"/>
      <c r="AH63" s="2442"/>
      <c r="AI63" s="1427">
        <f>ROUND(SUM(+AC63-AF63),1)</f>
        <v>0</v>
      </c>
      <c r="AJ63" s="2432"/>
      <c r="AK63" s="1422">
        <f>ROUND(IF(AF63=0,0,AI63/ABS(AF63)),3)</f>
        <v>0</v>
      </c>
      <c r="AM63" s="2374"/>
      <c r="AO63" s="2374"/>
    </row>
    <row r="64" spans="1:41" ht="15">
      <c r="A64" s="2406"/>
      <c r="B64" s="2440" t="s">
        <v>935</v>
      </c>
      <c r="C64" s="2440"/>
      <c r="D64" s="3795">
        <v>0</v>
      </c>
      <c r="E64" s="2439"/>
      <c r="F64" s="1768">
        <v>0.1</v>
      </c>
      <c r="G64" s="2439"/>
      <c r="H64" s="1768">
        <v>0</v>
      </c>
      <c r="I64" s="1427"/>
      <c r="J64" s="1768">
        <v>0.1</v>
      </c>
      <c r="K64" s="1977"/>
      <c r="L64" s="1768">
        <v>0.1</v>
      </c>
      <c r="M64" s="1977"/>
      <c r="N64" s="1768">
        <v>0</v>
      </c>
      <c r="O64" s="1977"/>
      <c r="P64" s="1768">
        <v>0.1</v>
      </c>
      <c r="Q64" s="1977"/>
      <c r="R64" s="1768">
        <v>0</v>
      </c>
      <c r="S64" s="1977"/>
      <c r="T64" s="1768">
        <v>0.1</v>
      </c>
      <c r="U64" s="1977"/>
      <c r="V64" s="1768">
        <v>0</v>
      </c>
      <c r="W64" s="1977"/>
      <c r="X64" s="1768"/>
      <c r="Y64" s="1977"/>
      <c r="Z64" s="1768"/>
      <c r="AA64" s="1978"/>
      <c r="AB64" s="1981"/>
      <c r="AC64" s="1784">
        <v>0.5</v>
      </c>
      <c r="AD64" s="2020"/>
      <c r="AE64" s="1981" t="s">
        <v>14</v>
      </c>
      <c r="AF64" s="1784">
        <v>0.2</v>
      </c>
      <c r="AG64" s="2441"/>
      <c r="AH64" s="2442"/>
      <c r="AI64" s="1427">
        <f>ROUND(SUM(+AC64-AF64),1)</f>
        <v>0.3</v>
      </c>
      <c r="AJ64" s="2432"/>
      <c r="AK64" s="1422">
        <f>ROUND(IF(AF64=0,0,AI64/ABS(AF64)),3)</f>
        <v>1.5</v>
      </c>
      <c r="AM64" s="2374"/>
      <c r="AO64" s="2374"/>
    </row>
    <row r="65" spans="1:41" ht="15" customHeight="1">
      <c r="A65" s="2406"/>
      <c r="B65" s="2440" t="s">
        <v>1049</v>
      </c>
      <c r="C65" s="2440"/>
      <c r="D65" s="3795"/>
      <c r="E65" s="2439"/>
      <c r="F65" s="1768" t="s">
        <v>14</v>
      </c>
      <c r="G65" s="2439"/>
      <c r="H65" s="1768" t="s">
        <v>14</v>
      </c>
      <c r="I65" s="1427"/>
      <c r="J65" s="1768"/>
      <c r="K65" s="1974"/>
      <c r="L65" s="1768"/>
      <c r="M65" s="1974"/>
      <c r="N65" s="1768"/>
      <c r="O65" s="1974"/>
      <c r="P65" s="1768"/>
      <c r="Q65" s="1974"/>
      <c r="R65" s="1768"/>
      <c r="S65" s="1974"/>
      <c r="T65" s="1768"/>
      <c r="U65" s="1974"/>
      <c r="V65" s="1768"/>
      <c r="W65" s="1974"/>
      <c r="X65" s="1768"/>
      <c r="Y65" s="1974"/>
      <c r="Z65" s="1768"/>
      <c r="AA65" s="1970"/>
      <c r="AB65" s="2026"/>
      <c r="AC65" s="3097"/>
      <c r="AD65" s="1956"/>
      <c r="AE65" s="1976"/>
      <c r="AF65" s="3097"/>
      <c r="AG65" s="1986"/>
      <c r="AH65" s="2431"/>
      <c r="AI65" s="1427"/>
      <c r="AJ65" s="2432"/>
      <c r="AK65" s="1416"/>
      <c r="AM65" s="2374"/>
      <c r="AO65" s="2374"/>
    </row>
    <row r="66" spans="1:41" ht="15" customHeight="1">
      <c r="A66" s="2406"/>
      <c r="B66" s="2440" t="s">
        <v>936</v>
      </c>
      <c r="C66" s="2440"/>
      <c r="D66" s="3795">
        <v>5.3</v>
      </c>
      <c r="E66" s="2439"/>
      <c r="F66" s="1768">
        <v>5.5000000000000009</v>
      </c>
      <c r="G66" s="2439"/>
      <c r="H66" s="1768">
        <v>6.9999999999999991</v>
      </c>
      <c r="I66" s="1427"/>
      <c r="J66" s="1768">
        <v>6.2</v>
      </c>
      <c r="K66" s="1977"/>
      <c r="L66" s="1768">
        <v>6.2</v>
      </c>
      <c r="M66" s="1977"/>
      <c r="N66" s="1768">
        <v>5.0000000000000044</v>
      </c>
      <c r="O66" s="1977"/>
      <c r="P66" s="1768">
        <v>5.5999999999999988</v>
      </c>
      <c r="Q66" s="1977"/>
      <c r="R66" s="1768">
        <v>4.3000000000000052</v>
      </c>
      <c r="S66" s="1977"/>
      <c r="T66" s="1768">
        <v>3.799999999999998</v>
      </c>
      <c r="U66" s="1977"/>
      <c r="V66" s="1768">
        <f t="shared" si="13"/>
        <v>9.899999999999995</v>
      </c>
      <c r="W66" s="1977"/>
      <c r="X66" s="1768"/>
      <c r="Y66" s="1977"/>
      <c r="Z66" s="1768"/>
      <c r="AA66" s="1978"/>
      <c r="AB66" s="1981"/>
      <c r="AC66" s="1784">
        <v>58.8</v>
      </c>
      <c r="AD66" s="2020"/>
      <c r="AE66" s="1981" t="s">
        <v>14</v>
      </c>
      <c r="AF66" s="1784">
        <v>39.799999999999997</v>
      </c>
      <c r="AG66" s="1986"/>
      <c r="AH66" s="2431"/>
      <c r="AI66" s="1427">
        <f t="shared" ref="AI66:AI73" si="14">ROUND(SUM(+AC66-AF66),1)</f>
        <v>19</v>
      </c>
      <c r="AJ66" s="2432"/>
      <c r="AK66" s="1422">
        <f>ROUND(IF(AF66=0,0,AI66/ABS(AF66)),3)</f>
        <v>0.47699999999999998</v>
      </c>
      <c r="AM66" s="2374"/>
      <c r="AO66" s="2374"/>
    </row>
    <row r="67" spans="1:41" ht="15" customHeight="1">
      <c r="A67" s="2406"/>
      <c r="B67" s="2440" t="s">
        <v>1140</v>
      </c>
      <c r="C67" s="2440"/>
      <c r="D67" s="3795">
        <v>0</v>
      </c>
      <c r="E67" s="2439"/>
      <c r="F67" s="1768">
        <v>0</v>
      </c>
      <c r="G67" s="2439"/>
      <c r="H67" s="1768">
        <v>0</v>
      </c>
      <c r="I67" s="1427"/>
      <c r="J67" s="1768">
        <v>0</v>
      </c>
      <c r="K67" s="1977"/>
      <c r="L67" s="1768">
        <v>0</v>
      </c>
      <c r="M67" s="1977"/>
      <c r="N67" s="1768">
        <v>0</v>
      </c>
      <c r="O67" s="1977"/>
      <c r="P67" s="1768">
        <v>0</v>
      </c>
      <c r="Q67" s="1977"/>
      <c r="R67" s="1768">
        <v>0</v>
      </c>
      <c r="S67" s="1977"/>
      <c r="T67" s="1768">
        <v>0</v>
      </c>
      <c r="U67" s="1977"/>
      <c r="V67" s="1768">
        <f t="shared" si="13"/>
        <v>0</v>
      </c>
      <c r="W67" s="1977"/>
      <c r="X67" s="1768"/>
      <c r="Y67" s="1977"/>
      <c r="Z67" s="1768"/>
      <c r="AA67" s="1978"/>
      <c r="AB67" s="2027"/>
      <c r="AC67" s="1784">
        <v>0</v>
      </c>
      <c r="AD67" s="2020"/>
      <c r="AE67" s="2027" t="s">
        <v>14</v>
      </c>
      <c r="AF67" s="1784">
        <v>0</v>
      </c>
      <c r="AG67" s="1986"/>
      <c r="AH67" s="2431"/>
      <c r="AI67" s="1427">
        <f>ROUND(SUM(+AC67-AF67),1)</f>
        <v>0</v>
      </c>
      <c r="AJ67" s="2432"/>
      <c r="AK67" s="1422">
        <f>ROUND(IF(AF67=0,0,AI67/ABS(AF67)),3)</f>
        <v>0</v>
      </c>
      <c r="AM67" s="2374"/>
      <c r="AO67" s="2374"/>
    </row>
    <row r="68" spans="1:41" ht="15" customHeight="1">
      <c r="A68" s="2406"/>
      <c r="B68" s="2440" t="s">
        <v>937</v>
      </c>
      <c r="C68" s="2440"/>
      <c r="D68" s="3795">
        <v>14</v>
      </c>
      <c r="E68" s="2439"/>
      <c r="F68" s="1768">
        <v>20.700000000000003</v>
      </c>
      <c r="G68" s="2439"/>
      <c r="H68" s="1768">
        <v>33.899999999999991</v>
      </c>
      <c r="I68" s="1427"/>
      <c r="J68" s="1768">
        <v>12.200000000000017</v>
      </c>
      <c r="K68" s="1977"/>
      <c r="L68" s="1768">
        <v>4.3999999999999915</v>
      </c>
      <c r="M68" s="1977"/>
      <c r="N68" s="1768">
        <v>28.599999999999994</v>
      </c>
      <c r="O68" s="1977"/>
      <c r="P68" s="1768">
        <v>16.899999999999991</v>
      </c>
      <c r="Q68" s="1977"/>
      <c r="R68" s="1768">
        <v>10.600000000000023</v>
      </c>
      <c r="S68" s="1977"/>
      <c r="T68" s="1768">
        <v>43.000000000000014</v>
      </c>
      <c r="U68" s="1977"/>
      <c r="V68" s="1768">
        <f t="shared" si="13"/>
        <v>15.299999999999969</v>
      </c>
      <c r="W68" s="1977"/>
      <c r="X68" s="1768"/>
      <c r="Y68" s="1977"/>
      <c r="Z68" s="1768"/>
      <c r="AA68" s="1978"/>
      <c r="AB68" s="1981"/>
      <c r="AC68" s="1784">
        <v>199.6</v>
      </c>
      <c r="AD68" s="2020"/>
      <c r="AE68" s="1981" t="s">
        <v>14</v>
      </c>
      <c r="AF68" s="1784">
        <v>194.1</v>
      </c>
      <c r="AG68" s="2441"/>
      <c r="AH68" s="2442"/>
      <c r="AI68" s="1427">
        <f t="shared" si="14"/>
        <v>5.5</v>
      </c>
      <c r="AJ68" s="2432"/>
      <c r="AK68" s="1422">
        <f>ROUND(IF(AF68=0,0,AI68/ABS(AF68)),3)</f>
        <v>2.8000000000000001E-2</v>
      </c>
      <c r="AM68" s="2374"/>
      <c r="AO68" s="2374"/>
    </row>
    <row r="69" spans="1:41" ht="15" customHeight="1">
      <c r="A69" s="2406"/>
      <c r="B69" s="2440" t="s">
        <v>938</v>
      </c>
      <c r="C69" s="2440"/>
      <c r="D69" s="3795">
        <v>20.8</v>
      </c>
      <c r="E69" s="2439"/>
      <c r="F69" s="1768">
        <v>22.8</v>
      </c>
      <c r="G69" s="2439"/>
      <c r="H69" s="1768">
        <v>13.900000000000002</v>
      </c>
      <c r="I69" s="1427"/>
      <c r="J69" s="1768">
        <v>15.900000000000006</v>
      </c>
      <c r="K69" s="1977"/>
      <c r="L69" s="1768">
        <v>19.500000000000004</v>
      </c>
      <c r="M69" s="1977"/>
      <c r="N69" s="1768">
        <v>17.699999999999992</v>
      </c>
      <c r="O69" s="1977"/>
      <c r="P69" s="1768">
        <v>14.400000000000009</v>
      </c>
      <c r="Q69" s="1977"/>
      <c r="R69" s="1768">
        <v>23.099999999999998</v>
      </c>
      <c r="S69" s="1977"/>
      <c r="T69" s="1768">
        <v>13.200000000000003</v>
      </c>
      <c r="U69" s="1977"/>
      <c r="V69" s="1768">
        <f t="shared" si="13"/>
        <v>12.399999999999967</v>
      </c>
      <c r="W69" s="1977"/>
      <c r="X69" s="1768"/>
      <c r="Y69" s="1977"/>
      <c r="Z69" s="1768"/>
      <c r="AA69" s="1978"/>
      <c r="AB69" s="1981"/>
      <c r="AC69" s="1784">
        <v>173.7</v>
      </c>
      <c r="AD69" s="2020"/>
      <c r="AE69" s="1981" t="s">
        <v>14</v>
      </c>
      <c r="AF69" s="1784">
        <v>149</v>
      </c>
      <c r="AG69" s="2441"/>
      <c r="AH69" s="2442"/>
      <c r="AI69" s="1427">
        <f t="shared" si="14"/>
        <v>24.7</v>
      </c>
      <c r="AJ69" s="2432"/>
      <c r="AK69" s="1463">
        <f>ROUND(IF(AF69=0,0,AI69/ABS(AF69)),3)</f>
        <v>0.16600000000000001</v>
      </c>
      <c r="AM69" s="2374"/>
      <c r="AO69" s="2374"/>
    </row>
    <row r="70" spans="1:41" ht="15" customHeight="1">
      <c r="A70" s="2406"/>
      <c r="B70" s="2440" t="s">
        <v>939</v>
      </c>
      <c r="C70" s="2440"/>
      <c r="D70" s="3795">
        <v>0.1</v>
      </c>
      <c r="E70" s="2439"/>
      <c r="F70" s="1768">
        <v>0.1</v>
      </c>
      <c r="G70" s="2439"/>
      <c r="H70" s="1768">
        <v>9.9999999999999978E-2</v>
      </c>
      <c r="I70" s="1427"/>
      <c r="J70" s="1768">
        <v>0.10000000000000006</v>
      </c>
      <c r="K70" s="1977"/>
      <c r="L70" s="1768">
        <v>0.1</v>
      </c>
      <c r="M70" s="1977"/>
      <c r="N70" s="1768">
        <v>0.19999999999999996</v>
      </c>
      <c r="O70" s="1977"/>
      <c r="P70" s="1768">
        <v>0.10000000000000012</v>
      </c>
      <c r="Q70" s="1977"/>
      <c r="R70" s="1768">
        <v>0.19999999999999996</v>
      </c>
      <c r="S70" s="1977"/>
      <c r="T70" s="1768">
        <v>0</v>
      </c>
      <c r="U70" s="1977"/>
      <c r="V70" s="1768">
        <f t="shared" si="13"/>
        <v>0.1</v>
      </c>
      <c r="W70" s="1977"/>
      <c r="X70" s="1768"/>
      <c r="Y70" s="1977"/>
      <c r="Z70" s="1768"/>
      <c r="AA70" s="1978"/>
      <c r="AB70" s="1981"/>
      <c r="AC70" s="1784">
        <v>1.1000000000000001</v>
      </c>
      <c r="AD70" s="2020"/>
      <c r="AE70" s="1981" t="s">
        <v>14</v>
      </c>
      <c r="AF70" s="1784">
        <v>1</v>
      </c>
      <c r="AG70" s="2441"/>
      <c r="AH70" s="2442"/>
      <c r="AI70" s="1427">
        <f t="shared" si="14"/>
        <v>0.1</v>
      </c>
      <c r="AJ70" s="2432"/>
      <c r="AK70" s="1422">
        <f>ROUND(IF(AF70=0,0,AI70/ABS(AF70)),3)</f>
        <v>0.1</v>
      </c>
      <c r="AM70" s="2374"/>
      <c r="AO70" s="2374"/>
    </row>
    <row r="71" spans="1:41" ht="15" customHeight="1">
      <c r="A71" s="2406"/>
      <c r="B71" s="2440" t="s">
        <v>940</v>
      </c>
      <c r="C71" s="2440"/>
      <c r="D71" s="3795">
        <v>20.2</v>
      </c>
      <c r="E71" s="2439"/>
      <c r="F71" s="1768">
        <v>15.599999999999998</v>
      </c>
      <c r="G71" s="2439"/>
      <c r="H71" s="1768">
        <v>54.900000000000006</v>
      </c>
      <c r="I71" s="1427"/>
      <c r="J71" s="1768">
        <v>20.700000000000003</v>
      </c>
      <c r="K71" s="1977"/>
      <c r="L71" s="1768">
        <v>32</v>
      </c>
      <c r="M71" s="1977"/>
      <c r="N71" s="1768">
        <v>29.700000000000003</v>
      </c>
      <c r="O71" s="1977"/>
      <c r="P71" s="1768">
        <v>17.800000000000011</v>
      </c>
      <c r="Q71" s="1977"/>
      <c r="R71" s="1768">
        <v>-6.8000000000000114</v>
      </c>
      <c r="S71" s="1977"/>
      <c r="T71" s="1768">
        <v>33.300000000000026</v>
      </c>
      <c r="U71" s="1977"/>
      <c r="V71" s="1768">
        <f t="shared" si="13"/>
        <v>9.5999999999999659</v>
      </c>
      <c r="W71" s="1977"/>
      <c r="X71" s="1768"/>
      <c r="Y71" s="1977"/>
      <c r="Z71" s="1768"/>
      <c r="AA71" s="1978"/>
      <c r="AB71" s="1981"/>
      <c r="AC71" s="1784">
        <v>227</v>
      </c>
      <c r="AD71" s="2020"/>
      <c r="AE71" s="1981" t="s">
        <v>14</v>
      </c>
      <c r="AF71" s="1784">
        <v>250.1</v>
      </c>
      <c r="AG71" s="2441"/>
      <c r="AH71" s="2442"/>
      <c r="AI71" s="1427">
        <f t="shared" si="14"/>
        <v>-23.1</v>
      </c>
      <c r="AJ71" s="2432"/>
      <c r="AK71" s="1463">
        <f>ROUND(IF(AF71=0,1,AI71/ABS(AF71)),3)</f>
        <v>-9.1999999999999998E-2</v>
      </c>
      <c r="AM71" s="2374"/>
      <c r="AO71" s="2374"/>
    </row>
    <row r="72" spans="1:41" ht="15" customHeight="1">
      <c r="A72" s="2406"/>
      <c r="B72" s="2440" t="s">
        <v>941</v>
      </c>
      <c r="C72" s="2440"/>
      <c r="D72" s="3795">
        <v>1.2</v>
      </c>
      <c r="E72" s="2439"/>
      <c r="F72" s="1768">
        <v>0.8</v>
      </c>
      <c r="G72" s="2439"/>
      <c r="H72" s="1768">
        <v>3</v>
      </c>
      <c r="I72" s="1427"/>
      <c r="J72" s="1768">
        <v>1.4000000000000004</v>
      </c>
      <c r="K72" s="1977"/>
      <c r="L72" s="1768">
        <v>2.6999999999999993</v>
      </c>
      <c r="M72" s="1977"/>
      <c r="N72" s="1768">
        <v>2</v>
      </c>
      <c r="O72" s="1977"/>
      <c r="P72" s="1768">
        <v>1.3000000000000007</v>
      </c>
      <c r="Q72" s="1977"/>
      <c r="R72" s="1768">
        <v>4.2000000000000011</v>
      </c>
      <c r="S72" s="1977"/>
      <c r="T72" s="1768">
        <v>1.1999999999999993</v>
      </c>
      <c r="U72" s="1977"/>
      <c r="V72" s="1768">
        <f t="shared" si="13"/>
        <v>1.8000000000000007</v>
      </c>
      <c r="W72" s="1977"/>
      <c r="X72" s="1768"/>
      <c r="Y72" s="1977"/>
      <c r="Z72" s="1768"/>
      <c r="AA72" s="1978"/>
      <c r="AB72" s="1981"/>
      <c r="AC72" s="1784">
        <v>19.600000000000001</v>
      </c>
      <c r="AD72" s="2020"/>
      <c r="AE72" s="1981" t="s">
        <v>14</v>
      </c>
      <c r="AF72" s="1784">
        <v>9.1999999999999993</v>
      </c>
      <c r="AG72" s="2441"/>
      <c r="AH72" s="2442"/>
      <c r="AI72" s="1427">
        <f t="shared" si="14"/>
        <v>10.4</v>
      </c>
      <c r="AJ72" s="2432"/>
      <c r="AK72" s="1463">
        <f>ROUND(IF(AF72=0,1,AI72/ABS(AF72)),3)</f>
        <v>1.1299999999999999</v>
      </c>
      <c r="AM72" s="2374"/>
      <c r="AO72" s="2374"/>
    </row>
    <row r="73" spans="1:41" ht="15" customHeight="1">
      <c r="A73" s="2406"/>
      <c r="B73" s="2440" t="s">
        <v>930</v>
      </c>
      <c r="C73" s="2440"/>
      <c r="D73" s="3795">
        <v>41.4</v>
      </c>
      <c r="E73" s="2439"/>
      <c r="F73" s="1768">
        <v>32.699999999999996</v>
      </c>
      <c r="G73" s="2439"/>
      <c r="H73" s="1768">
        <v>37.20000000000001</v>
      </c>
      <c r="I73" s="1427"/>
      <c r="J73" s="1768">
        <v>3.7999999999999829</v>
      </c>
      <c r="K73" s="1977"/>
      <c r="L73" s="1768">
        <v>12</v>
      </c>
      <c r="M73" s="1977"/>
      <c r="N73" s="1768">
        <v>20.100000000000001</v>
      </c>
      <c r="O73" s="1977"/>
      <c r="P73" s="1768">
        <v>9.3000000000000114</v>
      </c>
      <c r="Q73" s="1977"/>
      <c r="R73" s="1768">
        <v>41.500000000000007</v>
      </c>
      <c r="S73" s="1977"/>
      <c r="T73" s="1768">
        <v>2.1999999999999886</v>
      </c>
      <c r="U73" s="1977"/>
      <c r="V73" s="1768">
        <f t="shared" si="13"/>
        <v>63.10000000000003</v>
      </c>
      <c r="W73" s="1977"/>
      <c r="X73" s="1768"/>
      <c r="Y73" s="1977"/>
      <c r="Z73" s="1768"/>
      <c r="AA73" s="1978"/>
      <c r="AB73" s="1981"/>
      <c r="AC73" s="1784">
        <v>263.3</v>
      </c>
      <c r="AD73" s="2020"/>
      <c r="AE73" s="1981" t="s">
        <v>14</v>
      </c>
      <c r="AF73" s="1784">
        <v>729.4</v>
      </c>
      <c r="AG73" s="2441"/>
      <c r="AH73" s="2442"/>
      <c r="AI73" s="1427">
        <f t="shared" si="14"/>
        <v>-466.1</v>
      </c>
      <c r="AJ73" s="2432"/>
      <c r="AK73" s="1463">
        <f>ROUND(IF(AF73=0,0,AI73/ABS(AF73)),3)</f>
        <v>-0.63900000000000001</v>
      </c>
      <c r="AM73" s="2374"/>
      <c r="AO73" s="2374"/>
    </row>
    <row r="74" spans="1:41" ht="15" customHeight="1">
      <c r="A74" s="2406"/>
      <c r="B74" s="2440" t="s">
        <v>931</v>
      </c>
      <c r="C74" s="2440"/>
      <c r="D74" s="3795">
        <v>1.5</v>
      </c>
      <c r="E74" s="2439"/>
      <c r="F74" s="1768">
        <v>0.60000000000000009</v>
      </c>
      <c r="G74" s="2439"/>
      <c r="H74" s="1768">
        <v>0.5</v>
      </c>
      <c r="I74" s="1427"/>
      <c r="J74" s="1768">
        <v>0.5</v>
      </c>
      <c r="K74" s="1977"/>
      <c r="L74" s="1768">
        <v>0.5</v>
      </c>
      <c r="M74" s="1977"/>
      <c r="N74" s="1768">
        <v>0.60000000000000009</v>
      </c>
      <c r="O74" s="1977"/>
      <c r="P74" s="1768">
        <v>0.70000000000000018</v>
      </c>
      <c r="Q74" s="1977"/>
      <c r="R74" s="1768">
        <v>0.79999999999999982</v>
      </c>
      <c r="S74" s="1977"/>
      <c r="T74" s="1768">
        <v>0.80000000000000027</v>
      </c>
      <c r="U74" s="1977"/>
      <c r="V74" s="1768">
        <f t="shared" si="13"/>
        <v>1.1999999999999988</v>
      </c>
      <c r="W74" s="1977"/>
      <c r="X74" s="1768"/>
      <c r="Y74" s="1977"/>
      <c r="Z74" s="1768"/>
      <c r="AA74" s="1978"/>
      <c r="AB74" s="1981"/>
      <c r="AC74" s="1784">
        <v>7.7</v>
      </c>
      <c r="AD74" s="2020"/>
      <c r="AE74" s="1981" t="s">
        <v>14</v>
      </c>
      <c r="AF74" s="1784">
        <v>33.700000000000003</v>
      </c>
      <c r="AG74" s="1986"/>
      <c r="AH74" s="2431"/>
      <c r="AI74" s="1427">
        <f>ROUND(SUM(+AC74-AF74),1)</f>
        <v>-26</v>
      </c>
      <c r="AJ74" s="2432"/>
      <c r="AK74" s="1463">
        <f>ROUND(IF(AF74=0,1,AI74/ABS(AF74)),3)</f>
        <v>-0.77200000000000002</v>
      </c>
      <c r="AM74" s="2374"/>
      <c r="AO74" s="2374"/>
    </row>
    <row r="75" spans="1:41" ht="15" customHeight="1">
      <c r="A75" s="2406"/>
      <c r="B75" s="2440" t="s">
        <v>948</v>
      </c>
      <c r="C75" s="2440"/>
      <c r="D75" s="3795">
        <v>0</v>
      </c>
      <c r="E75" s="2439"/>
      <c r="F75" s="1768">
        <v>0</v>
      </c>
      <c r="G75" s="2439"/>
      <c r="H75" s="1768">
        <v>0</v>
      </c>
      <c r="I75" s="1427"/>
      <c r="J75" s="1768">
        <v>0</v>
      </c>
      <c r="K75" s="1977"/>
      <c r="L75" s="1768">
        <v>0</v>
      </c>
      <c r="M75" s="1977"/>
      <c r="N75" s="1768">
        <v>0.1</v>
      </c>
      <c r="O75" s="1977"/>
      <c r="P75" s="1768">
        <v>0</v>
      </c>
      <c r="Q75" s="1977"/>
      <c r="R75" s="1768">
        <v>0</v>
      </c>
      <c r="S75" s="1977"/>
      <c r="T75" s="1768">
        <v>0</v>
      </c>
      <c r="U75" s="1977"/>
      <c r="V75" s="1768">
        <f t="shared" si="13"/>
        <v>0</v>
      </c>
      <c r="W75" s="1977"/>
      <c r="X75" s="1768"/>
      <c r="Y75" s="1977"/>
      <c r="Z75" s="1768"/>
      <c r="AA75" s="1978"/>
      <c r="AB75" s="1981"/>
      <c r="AC75" s="1784">
        <v>0.1</v>
      </c>
      <c r="AD75" s="2020"/>
      <c r="AE75" s="1981" t="s">
        <v>14</v>
      </c>
      <c r="AF75" s="1784">
        <v>0.1</v>
      </c>
      <c r="AG75" s="2441"/>
      <c r="AH75" s="2442"/>
      <c r="AI75" s="1427">
        <f>ROUND(SUM(+AC75-AF75),1)</f>
        <v>0</v>
      </c>
      <c r="AJ75" s="2432"/>
      <c r="AK75" s="1422">
        <f>ROUND(IF(AF75=0,0,AI75/ABS(AF75)),3)</f>
        <v>0</v>
      </c>
      <c r="AM75" s="2374"/>
      <c r="AO75" s="2374"/>
    </row>
    <row r="76" spans="1:41" ht="15" customHeight="1">
      <c r="A76" s="2406"/>
      <c r="B76" s="2440" t="s">
        <v>1047</v>
      </c>
      <c r="C76" s="2440"/>
      <c r="D76" s="3795"/>
      <c r="E76" s="2439"/>
      <c r="F76" s="1768" t="s">
        <v>14</v>
      </c>
      <c r="G76" s="2439"/>
      <c r="H76" s="1768" t="s">
        <v>14</v>
      </c>
      <c r="I76" s="1427"/>
      <c r="J76" s="1768"/>
      <c r="K76" s="1974"/>
      <c r="L76" s="1768"/>
      <c r="M76" s="1974"/>
      <c r="N76" s="1768"/>
      <c r="O76" s="1974"/>
      <c r="P76" s="1768"/>
      <c r="Q76" s="1974"/>
      <c r="R76" s="1768"/>
      <c r="S76" s="1974"/>
      <c r="T76" s="1768"/>
      <c r="U76" s="1974"/>
      <c r="V76" s="1768"/>
      <c r="W76" s="1974"/>
      <c r="X76" s="1768"/>
      <c r="Y76" s="1974"/>
      <c r="Z76" s="1768"/>
      <c r="AA76" s="1970"/>
      <c r="AB76" s="2026"/>
      <c r="AC76" s="3097"/>
      <c r="AD76" s="1956"/>
      <c r="AE76" s="1976"/>
      <c r="AF76" s="3097"/>
      <c r="AG76" s="1986"/>
      <c r="AH76" s="2431"/>
      <c r="AI76" s="1427"/>
      <c r="AJ76" s="2432"/>
      <c r="AK76" s="1416"/>
      <c r="AM76" s="2374"/>
      <c r="AO76" s="2374"/>
    </row>
    <row r="77" spans="1:41" ht="15" customHeight="1">
      <c r="A77" s="2406"/>
      <c r="B77" s="2440" t="s">
        <v>944</v>
      </c>
      <c r="C77" s="2440"/>
      <c r="D77" s="3795">
        <v>0</v>
      </c>
      <c r="E77" s="2439"/>
      <c r="F77" s="1768">
        <v>0</v>
      </c>
      <c r="G77" s="2439"/>
      <c r="H77" s="1768">
        <v>0</v>
      </c>
      <c r="I77" s="1427"/>
      <c r="J77" s="1768">
        <v>0</v>
      </c>
      <c r="K77" s="1974"/>
      <c r="L77" s="1768">
        <v>0</v>
      </c>
      <c r="M77" s="1974"/>
      <c r="N77" s="1768">
        <v>0</v>
      </c>
      <c r="O77" s="1974"/>
      <c r="P77" s="1768">
        <v>0</v>
      </c>
      <c r="Q77" s="1974"/>
      <c r="R77" s="1768">
        <v>0</v>
      </c>
      <c r="S77" s="1974"/>
      <c r="T77" s="1768">
        <v>0</v>
      </c>
      <c r="U77" s="1974"/>
      <c r="V77" s="1768">
        <f t="shared" si="13"/>
        <v>0</v>
      </c>
      <c r="W77" s="1974"/>
      <c r="X77" s="1768"/>
      <c r="Y77" s="1974"/>
      <c r="Z77" s="1768"/>
      <c r="AA77" s="1970"/>
      <c r="AB77" s="3615"/>
      <c r="AC77" s="1784">
        <v>0</v>
      </c>
      <c r="AD77" s="1956"/>
      <c r="AE77" s="3113"/>
      <c r="AF77" s="1784">
        <v>4500</v>
      </c>
      <c r="AG77" s="1986"/>
      <c r="AH77" s="2431"/>
      <c r="AI77" s="1427">
        <f t="shared" ref="AI77:AI81" si="15">ROUND(SUM(+AC77-AF77),1)</f>
        <v>-4500</v>
      </c>
      <c r="AJ77" s="2432"/>
      <c r="AK77" s="1422">
        <f>ROUND(IF(AF77=0,0,AI77/ABS(AF77)),3)</f>
        <v>-1</v>
      </c>
      <c r="AM77" s="2374"/>
      <c r="AO77" s="2374"/>
    </row>
    <row r="78" spans="1:41" ht="15" customHeight="1">
      <c r="A78" s="2406"/>
      <c r="B78" s="2440" t="s">
        <v>945</v>
      </c>
      <c r="C78" s="2440"/>
      <c r="D78" s="3795">
        <v>0</v>
      </c>
      <c r="E78" s="2439"/>
      <c r="F78" s="1768">
        <v>0</v>
      </c>
      <c r="G78" s="2439"/>
      <c r="H78" s="1768">
        <v>0</v>
      </c>
      <c r="I78" s="1427"/>
      <c r="J78" s="1768">
        <v>0</v>
      </c>
      <c r="K78" s="1977"/>
      <c r="L78" s="1768">
        <v>0</v>
      </c>
      <c r="M78" s="1977"/>
      <c r="N78" s="1768">
        <v>0</v>
      </c>
      <c r="O78" s="1977"/>
      <c r="P78" s="1768">
        <v>0</v>
      </c>
      <c r="Q78" s="1977"/>
      <c r="R78" s="1768">
        <v>0</v>
      </c>
      <c r="S78" s="1977"/>
      <c r="T78" s="1768">
        <v>0</v>
      </c>
      <c r="U78" s="1977"/>
      <c r="V78" s="1768">
        <f t="shared" si="13"/>
        <v>0</v>
      </c>
      <c r="W78" s="1977"/>
      <c r="X78" s="1768"/>
      <c r="Y78" s="1977"/>
      <c r="Z78" s="1768"/>
      <c r="AA78" s="1978"/>
      <c r="AB78" s="1981"/>
      <c r="AC78" s="1784">
        <v>0</v>
      </c>
      <c r="AD78" s="2020"/>
      <c r="AE78" s="1981" t="s">
        <v>14</v>
      </c>
      <c r="AF78" s="1784">
        <v>0</v>
      </c>
      <c r="AG78" s="2441"/>
      <c r="AH78" s="2442"/>
      <c r="AI78" s="1427">
        <f t="shared" si="15"/>
        <v>0</v>
      </c>
      <c r="AJ78" s="2432"/>
      <c r="AK78" s="1422">
        <f>ROUND(IF(AF78=0,0,AI78/ABS(AF78)),3)</f>
        <v>0</v>
      </c>
      <c r="AM78" s="2374"/>
      <c r="AO78" s="2374"/>
    </row>
    <row r="79" spans="1:41" ht="15" customHeight="1">
      <c r="A79" s="2406"/>
      <c r="B79" s="2440" t="s">
        <v>946</v>
      </c>
      <c r="C79" s="2440"/>
      <c r="D79" s="3795">
        <v>0</v>
      </c>
      <c r="E79" s="2439"/>
      <c r="F79" s="1768">
        <v>0</v>
      </c>
      <c r="G79" s="2439"/>
      <c r="H79" s="1768">
        <v>0</v>
      </c>
      <c r="I79" s="1427"/>
      <c r="J79" s="1768">
        <v>21.5</v>
      </c>
      <c r="K79" s="1977"/>
      <c r="L79" s="1768">
        <v>0.60000000000000142</v>
      </c>
      <c r="M79" s="1977"/>
      <c r="N79" s="1768">
        <v>0</v>
      </c>
      <c r="O79" s="1977"/>
      <c r="P79" s="1768">
        <v>18.600000000000001</v>
      </c>
      <c r="Q79" s="1977"/>
      <c r="R79" s="1768">
        <v>1.0999999999999943</v>
      </c>
      <c r="S79" s="1977"/>
      <c r="T79" s="1768">
        <v>25.200000000000003</v>
      </c>
      <c r="U79" s="1977"/>
      <c r="V79" s="1768">
        <f t="shared" si="13"/>
        <v>3.5000000000000071</v>
      </c>
      <c r="W79" s="1977"/>
      <c r="X79" s="1768"/>
      <c r="Y79" s="1977"/>
      <c r="Z79" s="1768"/>
      <c r="AA79" s="1978"/>
      <c r="AB79" s="1981"/>
      <c r="AC79" s="1784">
        <v>70.5</v>
      </c>
      <c r="AD79" s="2020"/>
      <c r="AE79" s="1981" t="s">
        <v>14</v>
      </c>
      <c r="AF79" s="1784">
        <v>103.3</v>
      </c>
      <c r="AG79" s="2441"/>
      <c r="AH79" s="2442"/>
      <c r="AI79" s="1427">
        <f t="shared" si="15"/>
        <v>-32.799999999999997</v>
      </c>
      <c r="AJ79" s="2432"/>
      <c r="AK79" s="1422">
        <f>ROUND(IF(AF79=0,0,AI79/ABS(AF79)),3)</f>
        <v>-0.318</v>
      </c>
      <c r="AM79" s="2374"/>
      <c r="AO79" s="2374"/>
    </row>
    <row r="80" spans="1:41" ht="15" customHeight="1">
      <c r="A80" s="2406"/>
      <c r="B80" s="2440" t="s">
        <v>947</v>
      </c>
      <c r="C80" s="2440"/>
      <c r="D80" s="3795">
        <v>0</v>
      </c>
      <c r="E80" s="2439"/>
      <c r="F80" s="1768">
        <v>0</v>
      </c>
      <c r="G80" s="2439"/>
      <c r="H80" s="1768">
        <v>0</v>
      </c>
      <c r="I80" s="1427"/>
      <c r="J80" s="1768">
        <v>0</v>
      </c>
      <c r="K80" s="1977"/>
      <c r="L80" s="1768">
        <v>0</v>
      </c>
      <c r="M80" s="1977"/>
      <c r="N80" s="1768">
        <v>0</v>
      </c>
      <c r="O80" s="1977"/>
      <c r="P80" s="1768">
        <v>0</v>
      </c>
      <c r="Q80" s="1977"/>
      <c r="R80" s="1768">
        <v>0</v>
      </c>
      <c r="S80" s="1977"/>
      <c r="T80" s="1768">
        <v>27.2</v>
      </c>
      <c r="U80" s="1977"/>
      <c r="V80" s="1768">
        <f t="shared" si="13"/>
        <v>0</v>
      </c>
      <c r="W80" s="1977"/>
      <c r="X80" s="1768"/>
      <c r="Y80" s="1977"/>
      <c r="Z80" s="1768"/>
      <c r="AA80" s="1978"/>
      <c r="AB80" s="1981"/>
      <c r="AC80" s="1784">
        <v>27.2</v>
      </c>
      <c r="AD80" s="2020"/>
      <c r="AE80" s="1981" t="s">
        <v>14</v>
      </c>
      <c r="AF80" s="1784">
        <v>30.4</v>
      </c>
      <c r="AG80" s="2441"/>
      <c r="AH80" s="2442"/>
      <c r="AI80" s="1427">
        <f t="shared" si="15"/>
        <v>-3.2</v>
      </c>
      <c r="AJ80" s="2432"/>
      <c r="AK80" s="1422">
        <f>ROUND(IF(AF80=0,0,AI80/ABS(AF80)),3)</f>
        <v>-0.105</v>
      </c>
      <c r="AM80" s="2374"/>
      <c r="AO80" s="2374"/>
    </row>
    <row r="81" spans="1:41" ht="15" customHeight="1">
      <c r="A81" s="2406"/>
      <c r="B81" s="2440" t="s">
        <v>949</v>
      </c>
      <c r="C81" s="2440"/>
      <c r="D81" s="3795">
        <v>0.2</v>
      </c>
      <c r="E81" s="2439"/>
      <c r="F81" s="1768">
        <v>9.9999999999999978E-2</v>
      </c>
      <c r="G81" s="2439"/>
      <c r="H81" s="1768">
        <v>0.10000000000000003</v>
      </c>
      <c r="I81" s="1427"/>
      <c r="J81" s="1768">
        <v>9.9999999999999978E-2</v>
      </c>
      <c r="K81" s="1977"/>
      <c r="L81" s="1768">
        <v>9.9999999999999978E-2</v>
      </c>
      <c r="M81" s="1977"/>
      <c r="N81" s="1768">
        <v>9.9999999999999978E-2</v>
      </c>
      <c r="O81" s="1977"/>
      <c r="P81" s="1768">
        <v>0.2</v>
      </c>
      <c r="Q81" s="1977"/>
      <c r="R81" s="1768">
        <v>0.3</v>
      </c>
      <c r="S81" s="1977"/>
      <c r="T81" s="1768">
        <v>0.19999999999999996</v>
      </c>
      <c r="U81" s="1977"/>
      <c r="V81" s="1768">
        <f t="shared" si="13"/>
        <v>0.10000000000000009</v>
      </c>
      <c r="W81" s="1977"/>
      <c r="X81" s="1768"/>
      <c r="Y81" s="1977"/>
      <c r="Z81" s="1768"/>
      <c r="AA81" s="1978"/>
      <c r="AB81" s="1981"/>
      <c r="AC81" s="1784">
        <v>1.5</v>
      </c>
      <c r="AD81" s="2020"/>
      <c r="AE81" s="1981" t="s">
        <v>14</v>
      </c>
      <c r="AF81" s="1784">
        <v>1.4</v>
      </c>
      <c r="AG81" s="2441"/>
      <c r="AH81" s="2442"/>
      <c r="AI81" s="1427">
        <f t="shared" si="15"/>
        <v>0.1</v>
      </c>
      <c r="AJ81" s="2432"/>
      <c r="AK81" s="1463">
        <f>ROUND(IF(AF81=0,1,AI81/ABS(AF81)),3)</f>
        <v>7.0999999999999994E-2</v>
      </c>
      <c r="AM81" s="2374"/>
      <c r="AO81" s="2374"/>
    </row>
    <row r="82" spans="1:41" ht="15" customHeight="1">
      <c r="A82" s="2406"/>
      <c r="B82" s="2440" t="s">
        <v>1048</v>
      </c>
      <c r="C82" s="2440"/>
      <c r="D82" s="3795"/>
      <c r="E82" s="2439"/>
      <c r="F82" s="1768" t="s">
        <v>14</v>
      </c>
      <c r="G82" s="2439"/>
      <c r="H82" s="1768" t="s">
        <v>14</v>
      </c>
      <c r="I82" s="1427"/>
      <c r="J82" s="1768"/>
      <c r="K82" s="1974"/>
      <c r="L82" s="1768"/>
      <c r="M82" s="1974"/>
      <c r="N82" s="1768"/>
      <c r="O82" s="1974"/>
      <c r="P82" s="1768"/>
      <c r="Q82" s="1974"/>
      <c r="R82" s="1768"/>
      <c r="S82" s="1974"/>
      <c r="T82" s="1768"/>
      <c r="U82" s="1974"/>
      <c r="V82" s="1768"/>
      <c r="W82" s="1974"/>
      <c r="X82" s="1768"/>
      <c r="Y82" s="1974"/>
      <c r="Z82" s="1768"/>
      <c r="AA82" s="1970"/>
      <c r="AB82" s="2026"/>
      <c r="AC82" s="3097"/>
      <c r="AD82" s="1956"/>
      <c r="AE82" s="1981" t="s">
        <v>14</v>
      </c>
      <c r="AF82" s="3097"/>
      <c r="AG82" s="1986"/>
      <c r="AH82" s="2431"/>
      <c r="AI82" s="1427"/>
      <c r="AJ82" s="2432"/>
      <c r="AK82" s="1416"/>
      <c r="AM82" s="2374"/>
      <c r="AO82" s="2374"/>
    </row>
    <row r="83" spans="1:41" ht="15" customHeight="1">
      <c r="A83" s="2406"/>
      <c r="B83" s="2440" t="s">
        <v>950</v>
      </c>
      <c r="C83" s="2440"/>
      <c r="D83" s="3795">
        <v>0.79999999999999993</v>
      </c>
      <c r="E83" s="2439"/>
      <c r="F83" s="1768">
        <v>0.30000000000000016</v>
      </c>
      <c r="G83" s="2439"/>
      <c r="H83" s="1768">
        <v>15.2</v>
      </c>
      <c r="I83" s="1427"/>
      <c r="J83" s="1768">
        <v>0.19999999999999929</v>
      </c>
      <c r="K83" s="1977"/>
      <c r="L83" s="1768">
        <v>0.5</v>
      </c>
      <c r="M83" s="1977"/>
      <c r="N83" s="1768">
        <v>15.200000000000003</v>
      </c>
      <c r="O83" s="1977"/>
      <c r="P83" s="1768">
        <v>0.39999999999999858</v>
      </c>
      <c r="Q83" s="1977"/>
      <c r="R83" s="1768">
        <v>0.30000000000000071</v>
      </c>
      <c r="S83" s="1977"/>
      <c r="T83" s="1768">
        <v>17.700000000000014</v>
      </c>
      <c r="U83" s="1977"/>
      <c r="V83" s="1768">
        <f t="shared" si="13"/>
        <v>0.39999999999999147</v>
      </c>
      <c r="W83" s="1977"/>
      <c r="X83" s="1768"/>
      <c r="Y83" s="1977"/>
      <c r="Z83" s="1768"/>
      <c r="AA83" s="1978"/>
      <c r="AB83" s="1981"/>
      <c r="AC83" s="1784">
        <v>51</v>
      </c>
      <c r="AD83" s="2020"/>
      <c r="AE83" s="1981" t="s">
        <v>14</v>
      </c>
      <c r="AF83" s="1784">
        <v>48</v>
      </c>
      <c r="AG83" s="2441"/>
      <c r="AH83" s="2442"/>
      <c r="AI83" s="1427">
        <f t="shared" ref="AI83:AI92" si="16">ROUND(SUM(+AC83-AF83),1)</f>
        <v>3</v>
      </c>
      <c r="AJ83" s="2432"/>
      <c r="AK83" s="1422">
        <f t="shared" ref="AK83" si="17">ROUND(IF(AF83=0,1,AI83/ABS(AF83)),3)</f>
        <v>6.3E-2</v>
      </c>
      <c r="AM83" s="2374"/>
      <c r="AO83" s="2374"/>
    </row>
    <row r="84" spans="1:41" ht="15" customHeight="1">
      <c r="A84" s="2406"/>
      <c r="B84" s="2440" t="s">
        <v>951</v>
      </c>
      <c r="C84" s="2440"/>
      <c r="D84" s="3795">
        <v>0.4</v>
      </c>
      <c r="E84" s="2439"/>
      <c r="F84" s="1768">
        <v>0.19999999999999996</v>
      </c>
      <c r="G84" s="2439"/>
      <c r="H84" s="1768">
        <v>-0.39999999999999997</v>
      </c>
      <c r="I84" s="1427"/>
      <c r="J84" s="1768">
        <v>0</v>
      </c>
      <c r="K84" s="1977"/>
      <c r="L84" s="1768">
        <v>0</v>
      </c>
      <c r="M84" s="1977"/>
      <c r="N84" s="1768">
        <v>0.90000000000000013</v>
      </c>
      <c r="O84" s="1977"/>
      <c r="P84" s="1768">
        <v>0</v>
      </c>
      <c r="Q84" s="1977"/>
      <c r="R84" s="1768">
        <v>0</v>
      </c>
      <c r="S84" s="1977"/>
      <c r="T84" s="1768">
        <v>0</v>
      </c>
      <c r="U84" s="1977"/>
      <c r="V84" s="1768">
        <f t="shared" si="13"/>
        <v>0.39999999999999997</v>
      </c>
      <c r="W84" s="1977"/>
      <c r="X84" s="1768"/>
      <c r="Y84" s="1977"/>
      <c r="Z84" s="1768"/>
      <c r="AA84" s="1978"/>
      <c r="AB84" s="2027"/>
      <c r="AC84" s="1784">
        <v>1.5</v>
      </c>
      <c r="AD84" s="2020"/>
      <c r="AE84" s="1981" t="s">
        <v>14</v>
      </c>
      <c r="AF84" s="1784">
        <v>0.3</v>
      </c>
      <c r="AG84" s="2441"/>
      <c r="AH84" s="2442"/>
      <c r="AI84" s="1427">
        <f t="shared" ref="AI84" si="18">ROUND(SUM(+AC84-AF84),1)</f>
        <v>1.2</v>
      </c>
      <c r="AJ84" s="2432"/>
      <c r="AK84" s="1463">
        <f>ROUND(IF(AF84=0,1,AI84/ABS(AF84)),3)</f>
        <v>4</v>
      </c>
      <c r="AM84" s="2374"/>
      <c r="AO84" s="2374"/>
    </row>
    <row r="85" spans="1:41" ht="15" customHeight="1">
      <c r="A85" s="2406"/>
      <c r="B85" s="2440" t="s">
        <v>952</v>
      </c>
      <c r="C85" s="2440"/>
      <c r="D85" s="3795">
        <v>0</v>
      </c>
      <c r="E85" s="2439"/>
      <c r="F85" s="1768">
        <v>0</v>
      </c>
      <c r="G85" s="2439"/>
      <c r="H85" s="1768">
        <v>0</v>
      </c>
      <c r="I85" s="1427"/>
      <c r="J85" s="1768">
        <v>0</v>
      </c>
      <c r="K85" s="1977"/>
      <c r="L85" s="1768">
        <v>0.3</v>
      </c>
      <c r="M85" s="1977"/>
      <c r="N85" s="1768">
        <v>0</v>
      </c>
      <c r="O85" s="1977"/>
      <c r="P85" s="1768">
        <v>0</v>
      </c>
      <c r="Q85" s="1977"/>
      <c r="R85" s="1768">
        <v>12.299999999999999</v>
      </c>
      <c r="S85" s="1977"/>
      <c r="T85" s="1768">
        <v>0</v>
      </c>
      <c r="U85" s="1977"/>
      <c r="V85" s="1768">
        <f t="shared" si="13"/>
        <v>0</v>
      </c>
      <c r="W85" s="1977"/>
      <c r="X85" s="1768"/>
      <c r="Y85" s="1977"/>
      <c r="Z85" s="1768"/>
      <c r="AA85" s="1978"/>
      <c r="AB85" s="1981"/>
      <c r="AC85" s="1784">
        <v>12.6</v>
      </c>
      <c r="AD85" s="2020"/>
      <c r="AE85" s="1981" t="s">
        <v>14</v>
      </c>
      <c r="AF85" s="1784">
        <v>0</v>
      </c>
      <c r="AG85" s="2441"/>
      <c r="AH85" s="2442"/>
      <c r="AI85" s="1427">
        <f t="shared" si="16"/>
        <v>12.6</v>
      </c>
      <c r="AJ85" s="2432"/>
      <c r="AK85" s="1422">
        <f>ROUND(IF(AF85=0,1,AI85/ABS(AF85)),3)</f>
        <v>1</v>
      </c>
      <c r="AM85" s="2374"/>
      <c r="AO85" s="2374"/>
    </row>
    <row r="86" spans="1:41" ht="15" customHeight="1">
      <c r="A86" s="2406"/>
      <c r="B86" s="2440" t="s">
        <v>953</v>
      </c>
      <c r="C86" s="2440"/>
      <c r="D86" s="3795">
        <v>4.9000000000000004</v>
      </c>
      <c r="E86" s="2439"/>
      <c r="F86" s="1768">
        <v>5.6999999999999993</v>
      </c>
      <c r="G86" s="2439"/>
      <c r="H86" s="1768">
        <v>6.3000000000000025</v>
      </c>
      <c r="I86" s="1427"/>
      <c r="J86" s="1768">
        <v>4.9999999999999982</v>
      </c>
      <c r="K86" s="1977"/>
      <c r="L86" s="1768">
        <v>6</v>
      </c>
      <c r="M86" s="1977"/>
      <c r="N86" s="1768">
        <v>7.5</v>
      </c>
      <c r="O86" s="1977"/>
      <c r="P86" s="1768">
        <v>5.3000000000000043</v>
      </c>
      <c r="Q86" s="1977"/>
      <c r="R86" s="1768">
        <v>9.7999999999999989</v>
      </c>
      <c r="S86" s="1977"/>
      <c r="T86" s="1768">
        <v>7.5000000000000018</v>
      </c>
      <c r="U86" s="1977"/>
      <c r="V86" s="1768">
        <f t="shared" si="13"/>
        <v>7.9000000000000092</v>
      </c>
      <c r="W86" s="1977"/>
      <c r="X86" s="1768"/>
      <c r="Y86" s="1977"/>
      <c r="Z86" s="1768"/>
      <c r="AA86" s="1978"/>
      <c r="AB86" s="1981"/>
      <c r="AC86" s="1784">
        <v>65.900000000000006</v>
      </c>
      <c r="AD86" s="2020"/>
      <c r="AE86" s="1981" t="s">
        <v>14</v>
      </c>
      <c r="AF86" s="1784">
        <v>61.5</v>
      </c>
      <c r="AG86" s="2441"/>
      <c r="AH86" s="2442"/>
      <c r="AI86" s="1427">
        <f t="shared" si="16"/>
        <v>4.4000000000000004</v>
      </c>
      <c r="AJ86" s="2432"/>
      <c r="AK86" s="1422">
        <f>ROUND(IF(AF86=0,1,AI86/ABS(AF86)),3)</f>
        <v>7.1999999999999995E-2</v>
      </c>
      <c r="AM86" s="2374"/>
      <c r="AO86" s="2374"/>
    </row>
    <row r="87" spans="1:41" ht="15" customHeight="1">
      <c r="A87" s="2406"/>
      <c r="B87" s="2440" t="s">
        <v>954</v>
      </c>
      <c r="C87" s="2440"/>
      <c r="D87" s="3795">
        <v>38.299999999999997</v>
      </c>
      <c r="E87" s="2439"/>
      <c r="F87" s="1768">
        <v>6.1000000000000014</v>
      </c>
      <c r="G87" s="2439"/>
      <c r="H87" s="1768">
        <v>-54.4</v>
      </c>
      <c r="I87" s="1427"/>
      <c r="J87" s="1768">
        <v>54.6</v>
      </c>
      <c r="K87" s="1977"/>
      <c r="L87" s="1768">
        <v>-4</v>
      </c>
      <c r="M87" s="1977"/>
      <c r="N87" s="1768">
        <v>5.7999999999999972</v>
      </c>
      <c r="O87" s="1977"/>
      <c r="P87" s="1768">
        <v>-20.199999999999996</v>
      </c>
      <c r="Q87" s="1977"/>
      <c r="R87" s="1768">
        <v>-6.5</v>
      </c>
      <c r="S87" s="1977"/>
      <c r="T87" s="1768">
        <v>9.5</v>
      </c>
      <c r="U87" s="1977"/>
      <c r="V87" s="1768">
        <f t="shared" si="13"/>
        <v>-20.9</v>
      </c>
      <c r="W87" s="1977"/>
      <c r="X87" s="1768"/>
      <c r="Y87" s="1977"/>
      <c r="Z87" s="1768"/>
      <c r="AA87" s="1978"/>
      <c r="AB87" s="2027"/>
      <c r="AC87" s="1784">
        <v>8.3000000000000007</v>
      </c>
      <c r="AD87" s="2020"/>
      <c r="AE87" s="2027" t="s">
        <v>14</v>
      </c>
      <c r="AF87" s="1784">
        <v>-22.4</v>
      </c>
      <c r="AG87" s="2441"/>
      <c r="AH87" s="2442"/>
      <c r="AI87" s="1427">
        <f>ROUND(SUM(+AC87-AF87),1)</f>
        <v>30.7</v>
      </c>
      <c r="AJ87" s="2432"/>
      <c r="AK87" s="1463">
        <f>ROUND(IF(AF87=0,1,AI87/ABS(AF87)),3)</f>
        <v>1.371</v>
      </c>
      <c r="AM87" s="2374"/>
      <c r="AO87" s="2374"/>
    </row>
    <row r="88" spans="1:41" ht="15" customHeight="1">
      <c r="A88" s="2406"/>
      <c r="B88" s="2440" t="s">
        <v>955</v>
      </c>
      <c r="C88" s="2440"/>
      <c r="D88" s="3795">
        <v>0</v>
      </c>
      <c r="E88" s="2439"/>
      <c r="F88" s="1768">
        <v>1.6</v>
      </c>
      <c r="G88" s="2439"/>
      <c r="H88" s="1768">
        <v>-0.40000000000000013</v>
      </c>
      <c r="I88" s="1427"/>
      <c r="J88" s="1768">
        <v>-0.39999999999999991</v>
      </c>
      <c r="K88" s="1977"/>
      <c r="L88" s="1768">
        <v>2.2999999999999998</v>
      </c>
      <c r="M88" s="1977"/>
      <c r="N88" s="1768">
        <v>-0.19999999999999996</v>
      </c>
      <c r="O88" s="1977"/>
      <c r="P88" s="1768">
        <v>-0.39999999999999991</v>
      </c>
      <c r="Q88" s="1977"/>
      <c r="R88" s="1768">
        <v>2.2000000000000002</v>
      </c>
      <c r="S88" s="1977"/>
      <c r="T88" s="1768">
        <v>0</v>
      </c>
      <c r="U88" s="1977"/>
      <c r="V88" s="1768">
        <f t="shared" si="13"/>
        <v>0</v>
      </c>
      <c r="W88" s="1977"/>
      <c r="X88" s="1768"/>
      <c r="Y88" s="1977"/>
      <c r="Z88" s="1768"/>
      <c r="AA88" s="1978"/>
      <c r="AB88" s="1981"/>
      <c r="AC88" s="1784">
        <v>4.7</v>
      </c>
      <c r="AD88" s="2020"/>
      <c r="AE88" s="1981" t="s">
        <v>14</v>
      </c>
      <c r="AF88" s="1784">
        <v>5.9</v>
      </c>
      <c r="AG88" s="2441"/>
      <c r="AH88" s="2442"/>
      <c r="AI88" s="1427">
        <f t="shared" si="16"/>
        <v>-1.2</v>
      </c>
      <c r="AJ88" s="2432"/>
      <c r="AK88" s="1422">
        <f>ROUND(IF(AF88=0,0,AI88/ABS(AF88)),3)</f>
        <v>-0.20300000000000001</v>
      </c>
      <c r="AM88" s="2374"/>
      <c r="AO88" s="2374"/>
    </row>
    <row r="89" spans="1:41" ht="15" customHeight="1">
      <c r="A89" s="2406"/>
      <c r="B89" s="2440" t="s">
        <v>956</v>
      </c>
      <c r="C89" s="2440"/>
      <c r="D89" s="3795">
        <v>0</v>
      </c>
      <c r="E89" s="2439"/>
      <c r="F89" s="1768">
        <v>0</v>
      </c>
      <c r="G89" s="2439"/>
      <c r="H89" s="1768">
        <v>0.2</v>
      </c>
      <c r="I89" s="1427"/>
      <c r="J89" s="1768">
        <v>0</v>
      </c>
      <c r="K89" s="1977"/>
      <c r="L89" s="1768">
        <v>0</v>
      </c>
      <c r="M89" s="1977"/>
      <c r="N89" s="1768">
        <v>0</v>
      </c>
      <c r="O89" s="1977"/>
      <c r="P89" s="1768">
        <v>0</v>
      </c>
      <c r="Q89" s="1977"/>
      <c r="R89" s="1768">
        <v>0</v>
      </c>
      <c r="S89" s="1977"/>
      <c r="T89" s="1768">
        <v>0.3</v>
      </c>
      <c r="U89" s="1977"/>
      <c r="V89" s="1768">
        <f t="shared" si="13"/>
        <v>0</v>
      </c>
      <c r="W89" s="1977"/>
      <c r="X89" s="1768"/>
      <c r="Y89" s="1977"/>
      <c r="Z89" s="1768"/>
      <c r="AA89" s="1978"/>
      <c r="AB89" s="1981"/>
      <c r="AC89" s="1784">
        <v>0.5</v>
      </c>
      <c r="AD89" s="2020"/>
      <c r="AE89" s="1981" t="s">
        <v>14</v>
      </c>
      <c r="AF89" s="1784">
        <v>1.2</v>
      </c>
      <c r="AG89" s="2441"/>
      <c r="AH89" s="2442"/>
      <c r="AI89" s="1427">
        <f t="shared" si="16"/>
        <v>-0.7</v>
      </c>
      <c r="AJ89" s="2432"/>
      <c r="AK89" s="1463">
        <f>ROUND(IF(AF89=0,1,AI89/ABS(AF89)),3)</f>
        <v>-0.58299999999999996</v>
      </c>
      <c r="AM89" s="2374"/>
      <c r="AO89" s="2374"/>
    </row>
    <row r="90" spans="1:41" ht="15" customHeight="1">
      <c r="A90" s="2406"/>
      <c r="B90" s="2440" t="s">
        <v>957</v>
      </c>
      <c r="C90" s="2440"/>
      <c r="D90" s="3795">
        <v>0</v>
      </c>
      <c r="E90" s="2439"/>
      <c r="F90" s="1768">
        <v>0</v>
      </c>
      <c r="G90" s="2439"/>
      <c r="H90" s="1768">
        <v>0</v>
      </c>
      <c r="I90" s="1427"/>
      <c r="J90" s="1768">
        <v>0</v>
      </c>
      <c r="K90" s="1977"/>
      <c r="L90" s="1768">
        <v>0</v>
      </c>
      <c r="M90" s="1977"/>
      <c r="N90" s="1768">
        <v>0</v>
      </c>
      <c r="O90" s="1977"/>
      <c r="P90" s="1768">
        <v>0</v>
      </c>
      <c r="Q90" s="1977"/>
      <c r="R90" s="1768">
        <v>0</v>
      </c>
      <c r="S90" s="1977"/>
      <c r="T90" s="1768">
        <v>0</v>
      </c>
      <c r="U90" s="1977"/>
      <c r="V90" s="1768">
        <f t="shared" si="13"/>
        <v>0</v>
      </c>
      <c r="W90" s="1977"/>
      <c r="X90" s="1768"/>
      <c r="Y90" s="1977"/>
      <c r="Z90" s="1768"/>
      <c r="AA90" s="1978"/>
      <c r="AB90" s="1981"/>
      <c r="AC90" s="1784">
        <v>0</v>
      </c>
      <c r="AD90" s="2020"/>
      <c r="AE90" s="1981" t="s">
        <v>14</v>
      </c>
      <c r="AF90" s="1784">
        <v>0</v>
      </c>
      <c r="AG90" s="2441"/>
      <c r="AH90" s="2442"/>
      <c r="AI90" s="1427">
        <f t="shared" si="16"/>
        <v>0</v>
      </c>
      <c r="AJ90" s="2432"/>
      <c r="AK90" s="1422">
        <f>ROUND(IF(AF90=0,0,AI90/ABS(AF90)),3)</f>
        <v>0</v>
      </c>
      <c r="AM90" s="2374"/>
      <c r="AO90" s="2374"/>
    </row>
    <row r="91" spans="1:41" ht="15" customHeight="1">
      <c r="A91" s="2406"/>
      <c r="B91" s="2440" t="s">
        <v>958</v>
      </c>
      <c r="C91" s="2440"/>
      <c r="D91" s="3795">
        <v>20.100000000000001</v>
      </c>
      <c r="E91" s="2439"/>
      <c r="F91" s="1768">
        <v>23.1</v>
      </c>
      <c r="G91" s="2439"/>
      <c r="H91" s="1768">
        <v>1.5999999999999943</v>
      </c>
      <c r="I91" s="1427"/>
      <c r="J91" s="1768">
        <v>10</v>
      </c>
      <c r="K91" s="1977"/>
      <c r="L91" s="1768">
        <v>22.899999999999991</v>
      </c>
      <c r="M91" s="1977"/>
      <c r="N91" s="1768">
        <v>-14.399999999999991</v>
      </c>
      <c r="O91" s="1977"/>
      <c r="P91" s="1768">
        <v>35.700000000000003</v>
      </c>
      <c r="Q91" s="1977"/>
      <c r="R91" s="1768">
        <v>-14.099999999999987</v>
      </c>
      <c r="S91" s="1977"/>
      <c r="T91" s="1768">
        <v>20.900000000000006</v>
      </c>
      <c r="U91" s="1977"/>
      <c r="V91" s="1768">
        <f t="shared" si="13"/>
        <v>57.5</v>
      </c>
      <c r="W91" s="1977"/>
      <c r="X91" s="1768"/>
      <c r="Y91" s="1977"/>
      <c r="Z91" s="1768"/>
      <c r="AA91" s="1978"/>
      <c r="AB91" s="1981"/>
      <c r="AC91" s="1768">
        <v>163.30000000000001</v>
      </c>
      <c r="AD91" s="2020"/>
      <c r="AE91" s="1981" t="s">
        <v>14</v>
      </c>
      <c r="AF91" s="1768">
        <v>75.099999999999994</v>
      </c>
      <c r="AG91" s="2020"/>
      <c r="AH91" s="2442"/>
      <c r="AI91" s="1427">
        <f t="shared" si="16"/>
        <v>88.2</v>
      </c>
      <c r="AJ91" s="2432"/>
      <c r="AK91" s="1463">
        <f>ROUND(IF(AF91=0,0,AI91/ABS(AF91)),3)</f>
        <v>1.1739999999999999</v>
      </c>
      <c r="AM91" s="2374"/>
      <c r="AO91" s="2374"/>
    </row>
    <row r="92" spans="1:41" ht="15" customHeight="1">
      <c r="A92" s="2406"/>
      <c r="B92" s="2440" t="s">
        <v>959</v>
      </c>
      <c r="C92" s="2440"/>
      <c r="D92" s="3795">
        <v>0.1</v>
      </c>
      <c r="E92" s="2439"/>
      <c r="F92" s="1768">
        <v>0</v>
      </c>
      <c r="G92" s="2439"/>
      <c r="H92" s="1768">
        <v>0</v>
      </c>
      <c r="I92" s="1427"/>
      <c r="J92" s="1768">
        <v>0.1</v>
      </c>
      <c r="K92" s="1977"/>
      <c r="L92" s="1768">
        <v>0</v>
      </c>
      <c r="M92" s="1977"/>
      <c r="N92" s="1768">
        <v>0</v>
      </c>
      <c r="O92" s="1977"/>
      <c r="P92" s="1768">
        <v>0</v>
      </c>
      <c r="Q92" s="1977"/>
      <c r="R92" s="1768">
        <v>0</v>
      </c>
      <c r="S92" s="1977"/>
      <c r="T92" s="1768">
        <v>0</v>
      </c>
      <c r="U92" s="1977"/>
      <c r="V92" s="1768">
        <f t="shared" si="13"/>
        <v>0</v>
      </c>
      <c r="W92" s="1977"/>
      <c r="X92" s="1768"/>
      <c r="Y92" s="1977"/>
      <c r="Z92" s="1768"/>
      <c r="AA92" s="1978"/>
      <c r="AB92" s="1981"/>
      <c r="AC92" s="1784">
        <v>0.2</v>
      </c>
      <c r="AD92" s="2020"/>
      <c r="AE92" s="1981" t="s">
        <v>14</v>
      </c>
      <c r="AF92" s="1784">
        <v>4.5999999999999996</v>
      </c>
      <c r="AG92" s="2020"/>
      <c r="AH92" s="2442"/>
      <c r="AI92" s="1427">
        <f t="shared" si="16"/>
        <v>-4.4000000000000004</v>
      </c>
      <c r="AJ92" s="2432"/>
      <c r="AK92" s="2443">
        <f>ROUND(IF(AF92=0,1,AI92/ABS(AF92)),3)</f>
        <v>-0.95699999999999996</v>
      </c>
      <c r="AM92" s="2374"/>
      <c r="AO92" s="2374"/>
    </row>
    <row r="93" spans="1:41" s="2436" customFormat="1" ht="15" customHeight="1">
      <c r="A93" s="2434"/>
      <c r="B93" s="2428" t="s">
        <v>993</v>
      </c>
      <c r="C93" s="2383"/>
      <c r="D93" s="2430">
        <f>ROUND(SUM(D58:D92),1)</f>
        <v>172.5</v>
      </c>
      <c r="E93" s="2444"/>
      <c r="F93" s="2429">
        <f>ROUND(SUM(F58:F92),1)</f>
        <v>140.1</v>
      </c>
      <c r="G93" s="2444"/>
      <c r="H93" s="2429">
        <f>ROUND(SUM(H58:H92),1)</f>
        <v>131</v>
      </c>
      <c r="I93" s="1445"/>
      <c r="J93" s="2430">
        <f>ROUND(SUM(J58:J92),1)</f>
        <v>154</v>
      </c>
      <c r="K93" s="1445"/>
      <c r="L93" s="2430">
        <f>ROUND(SUM(L58:L92),1)</f>
        <v>122.5</v>
      </c>
      <c r="M93" s="1445"/>
      <c r="N93" s="2021">
        <f>ROUND(SUM(N58:N92),1)</f>
        <v>256.5</v>
      </c>
      <c r="O93" s="1445"/>
      <c r="P93" s="1444">
        <f>ROUND(SUM(P58:P92),1)</f>
        <v>107.3</v>
      </c>
      <c r="Q93" s="1445"/>
      <c r="R93" s="2021">
        <f>ROUND(SUM(R58:R92),1)</f>
        <v>311.3</v>
      </c>
      <c r="S93" s="1445"/>
      <c r="T93" s="2021">
        <f>ROUND(SUM(T58:T92),1)</f>
        <v>238.9</v>
      </c>
      <c r="U93" s="1445"/>
      <c r="V93" s="2021">
        <f>ROUND(SUM(V58:V92),1)</f>
        <v>171.7</v>
      </c>
      <c r="W93" s="1445"/>
      <c r="X93" s="2021">
        <f>ROUND(SUM(X58:X92),1)</f>
        <v>0</v>
      </c>
      <c r="Y93" s="1445"/>
      <c r="Z93" s="2021">
        <f>ROUND(SUM(Z58:Z92),1)</f>
        <v>0</v>
      </c>
      <c r="AA93" s="1989"/>
      <c r="AB93" s="2028"/>
      <c r="AC93" s="3094">
        <f>ROUND(SUM(AC58:AC92),1)</f>
        <v>1805.8</v>
      </c>
      <c r="AD93" s="2029"/>
      <c r="AE93" s="3098" t="s">
        <v>14</v>
      </c>
      <c r="AF93" s="3420">
        <f>ROUND(SUM(AF58:AF92),1)</f>
        <v>6706.9</v>
      </c>
      <c r="AG93" s="1445"/>
      <c r="AH93" s="2435"/>
      <c r="AI93" s="2021">
        <f>ROUND(SUM(AI58:AI92),1)</f>
        <v>-4901.1000000000004</v>
      </c>
      <c r="AJ93" s="1428"/>
      <c r="AK93" s="1429">
        <f>ROUND(SUM(+AI93/AF93),3)</f>
        <v>-0.73099999999999998</v>
      </c>
      <c r="AL93" s="2372"/>
      <c r="AM93" s="2374"/>
      <c r="AO93" s="2374"/>
    </row>
    <row r="94" spans="1:41" s="2436" customFormat="1" ht="8.25" customHeight="1">
      <c r="A94" s="2434"/>
      <c r="B94" s="2382"/>
      <c r="C94" s="2383"/>
      <c r="D94" s="1445"/>
      <c r="E94" s="2444"/>
      <c r="F94" s="1445"/>
      <c r="G94" s="2444"/>
      <c r="H94" s="1445"/>
      <c r="I94" s="1445"/>
      <c r="J94" s="2029"/>
      <c r="K94" s="1445"/>
      <c r="L94" s="1445"/>
      <c r="M94" s="1445"/>
      <c r="N94" s="1445"/>
      <c r="O94" s="1445"/>
      <c r="P94" s="2029"/>
      <c r="Q94" s="1445"/>
      <c r="R94" s="1445"/>
      <c r="S94" s="1445"/>
      <c r="T94" s="1445"/>
      <c r="U94" s="1445"/>
      <c r="V94" s="1445"/>
      <c r="W94" s="1445"/>
      <c r="X94" s="1445"/>
      <c r="Y94" s="1445"/>
      <c r="Z94" s="1445"/>
      <c r="AA94" s="1989"/>
      <c r="AB94" s="2028"/>
      <c r="AC94" s="2029"/>
      <c r="AD94" s="2029"/>
      <c r="AE94" s="3098"/>
      <c r="AF94" s="2029"/>
      <c r="AG94" s="1445"/>
      <c r="AH94" s="2435"/>
      <c r="AI94" s="1445"/>
      <c r="AJ94" s="1428"/>
      <c r="AK94" s="2445"/>
      <c r="AL94" s="2372"/>
      <c r="AM94" s="2374"/>
      <c r="AO94" s="2374"/>
    </row>
    <row r="95" spans="1:41" ht="15" customHeight="1">
      <c r="A95" s="2406"/>
      <c r="B95" s="2424" t="s">
        <v>1136</v>
      </c>
      <c r="C95" s="2001"/>
      <c r="D95" s="3795">
        <v>0.2</v>
      </c>
      <c r="E95" s="1427"/>
      <c r="F95" s="1768">
        <v>0</v>
      </c>
      <c r="G95" s="1427"/>
      <c r="H95" s="1768">
        <v>0</v>
      </c>
      <c r="I95" s="1427"/>
      <c r="J95" s="1768">
        <v>0.10000000000000003</v>
      </c>
      <c r="K95" s="1977"/>
      <c r="L95" s="3863">
        <v>0</v>
      </c>
      <c r="M95" s="1977"/>
      <c r="N95" s="1768">
        <v>-0.30000000000000004</v>
      </c>
      <c r="O95" s="1977"/>
      <c r="P95" s="1768">
        <v>0</v>
      </c>
      <c r="Q95" s="1977"/>
      <c r="R95" s="1768">
        <v>0</v>
      </c>
      <c r="S95" s="1977"/>
      <c r="T95" s="1768">
        <v>0</v>
      </c>
      <c r="U95" s="1977"/>
      <c r="V95" s="1768">
        <f t="shared" ref="V95" si="19">$AC95-$D95-$F95-L95-T95-R95-P95-N95-J95-H95</f>
        <v>0</v>
      </c>
      <c r="W95" s="1977"/>
      <c r="X95" s="1768"/>
      <c r="Y95" s="1977"/>
      <c r="Z95" s="1768"/>
      <c r="AA95" s="1978"/>
      <c r="AB95" s="1981"/>
      <c r="AC95" s="1784">
        <v>0</v>
      </c>
      <c r="AD95" s="2020"/>
      <c r="AE95" s="1981" t="s">
        <v>14</v>
      </c>
      <c r="AF95" s="1784">
        <v>0.2</v>
      </c>
      <c r="AG95" s="1986"/>
      <c r="AH95" s="2431"/>
      <c r="AI95" s="2446">
        <f>ROUND(SUM(+AC95-AF95),1)</f>
        <v>-0.2</v>
      </c>
      <c r="AJ95" s="2432"/>
      <c r="AK95" s="3816">
        <f>ROUND(IF(AF95=0,1,AI95/ABS(AF95)),3)</f>
        <v>-1</v>
      </c>
      <c r="AM95" s="2374"/>
      <c r="AO95" s="2374"/>
    </row>
    <row r="96" spans="1:41" ht="4.3499999999999996" customHeight="1">
      <c r="A96" s="2406"/>
      <c r="B96" s="2023"/>
      <c r="C96" s="2001"/>
      <c r="D96" s="2447"/>
      <c r="E96" s="1427"/>
      <c r="F96" s="2447"/>
      <c r="G96" s="1427"/>
      <c r="H96" s="2447"/>
      <c r="I96" s="1427"/>
      <c r="J96" s="2448"/>
      <c r="K96" s="1985"/>
      <c r="L96" s="1984"/>
      <c r="M96" s="1985"/>
      <c r="N96" s="1984"/>
      <c r="O96" s="1985"/>
      <c r="P96" s="3514"/>
      <c r="Q96" s="1985"/>
      <c r="R96" s="1984"/>
      <c r="S96" s="1985"/>
      <c r="T96" s="1984"/>
      <c r="U96" s="1985"/>
      <c r="V96" s="1984"/>
      <c r="W96" s="1985"/>
      <c r="X96" s="1984">
        <f t="shared" ref="X96" si="20">$AC96-$D96-$F96-$H96-$J96-$L96-$N96-$P96-$R96-$T96-$V96</f>
        <v>0</v>
      </c>
      <c r="Y96" s="1985"/>
      <c r="Z96" s="1984"/>
      <c r="AA96" s="2000"/>
      <c r="AB96" s="2025"/>
      <c r="AC96" s="3099"/>
      <c r="AD96" s="1974"/>
      <c r="AE96" s="1981" t="s">
        <v>14</v>
      </c>
      <c r="AF96" s="2030"/>
      <c r="AG96" s="1986"/>
      <c r="AH96" s="2431"/>
      <c r="AI96" s="1427"/>
      <c r="AJ96" s="2432"/>
      <c r="AK96" s="1416"/>
      <c r="AM96" s="2374"/>
      <c r="AO96" s="2374"/>
    </row>
    <row r="97" spans="1:41" ht="15" customHeight="1">
      <c r="A97" s="2406"/>
      <c r="B97" s="2382" t="s">
        <v>149</v>
      </c>
      <c r="C97" s="2001"/>
      <c r="D97" s="1999">
        <f>ROUND(SUM(D95+D93+D54),1)</f>
        <v>4637.5</v>
      </c>
      <c r="E97" s="1445"/>
      <c r="F97" s="1999">
        <f>ROUND(SUM(F95+F93+F54),1)</f>
        <v>5621.6</v>
      </c>
      <c r="G97" s="1445"/>
      <c r="H97" s="1999">
        <f>ROUND(SUM(H95+H93+H54),1)</f>
        <v>5188.2</v>
      </c>
      <c r="I97" s="1445"/>
      <c r="J97" s="1540">
        <f>ROUND(SUM(J95+J93+J54),1)</f>
        <v>2556.8000000000002</v>
      </c>
      <c r="K97" s="1445"/>
      <c r="L97" s="1540">
        <f>ROUND(SUM(L95+L93+L54),1)</f>
        <v>2555.3000000000002</v>
      </c>
      <c r="M97" s="1445"/>
      <c r="N97" s="1445">
        <f>ROUND(SUM(N95+N93+N54),1)</f>
        <v>5759.8</v>
      </c>
      <c r="O97" s="1445"/>
      <c r="P97" s="2033">
        <f>ROUND(SUM(P95+P93+P54),1)</f>
        <v>2419.6999999999998</v>
      </c>
      <c r="Q97" s="1445"/>
      <c r="R97" s="2031">
        <f>ROUND(SUM(R95+R93+R54),1)</f>
        <v>2523.9</v>
      </c>
      <c r="S97" s="1445"/>
      <c r="T97" s="2031">
        <f>ROUND(SUM(T95+T93+T54),1)</f>
        <v>10559.1</v>
      </c>
      <c r="U97" s="1445"/>
      <c r="V97" s="2031">
        <f>ROUND(SUM(V95+V93+V54),1)</f>
        <v>4727.3999999999996</v>
      </c>
      <c r="W97" s="1445"/>
      <c r="X97" s="2031">
        <f>ROUND(SUM(X95+X93+X54),1)</f>
        <v>0</v>
      </c>
      <c r="Y97" s="1445"/>
      <c r="Z97" s="2031">
        <f>ROUND(SUM(Z95+Z93+Z54),1)</f>
        <v>0</v>
      </c>
      <c r="AA97" s="2032"/>
      <c r="AB97" s="2028"/>
      <c r="AC97" s="2033">
        <f>ROUND(SUM(AC95+AC93+AC54),1)</f>
        <v>46549.3</v>
      </c>
      <c r="AD97" s="2029"/>
      <c r="AE97" s="3098"/>
      <c r="AF97" s="2033">
        <f>ROUND(SUM(AF95+AF93+AF54),1)</f>
        <v>39580.300000000003</v>
      </c>
      <c r="AG97" s="1428"/>
      <c r="AH97" s="2435"/>
      <c r="AI97" s="2031">
        <f>ROUND(SUM(AI95+AI93+AI54),1)</f>
        <v>6969</v>
      </c>
      <c r="AJ97" s="1428"/>
      <c r="AK97" s="1419">
        <f>ROUND(SUM(+AI97/AF97),3)</f>
        <v>0.17599999999999999</v>
      </c>
      <c r="AM97" s="2374"/>
      <c r="AO97" s="2374"/>
    </row>
    <row r="98" spans="1:41" ht="15" customHeight="1">
      <c r="A98" s="2406"/>
      <c r="B98" s="2023"/>
      <c r="C98" s="2001"/>
      <c r="D98" s="2432"/>
      <c r="E98" s="1427"/>
      <c r="F98" s="2432"/>
      <c r="G98" s="1427"/>
      <c r="H98" s="2432"/>
      <c r="I98" s="1427"/>
      <c r="J98" s="2020"/>
      <c r="K98" s="1985"/>
      <c r="L98" s="1984"/>
      <c r="M98" s="1985"/>
      <c r="N98" s="1984"/>
      <c r="O98" s="1985"/>
      <c r="P98" s="1956"/>
      <c r="Q98" s="1985"/>
      <c r="R98" s="1986"/>
      <c r="S98" s="1985"/>
      <c r="T98" s="1986"/>
      <c r="U98" s="1985"/>
      <c r="V98" s="1986"/>
      <c r="W98" s="1985"/>
      <c r="X98" s="1986"/>
      <c r="Y98" s="1985"/>
      <c r="Z98" s="1986"/>
      <c r="AA98" s="1992"/>
      <c r="AB98" s="2025"/>
      <c r="AC98" s="2020"/>
      <c r="AD98" s="1974"/>
      <c r="AE98" s="1976"/>
      <c r="AF98" s="1956"/>
      <c r="AG98" s="1986"/>
      <c r="AH98" s="2431"/>
      <c r="AI98" s="1427"/>
      <c r="AJ98" s="2432"/>
      <c r="AK98" s="1416"/>
      <c r="AM98" s="2374"/>
      <c r="AO98" s="2374"/>
    </row>
    <row r="99" spans="1:41" ht="15" customHeight="1">
      <c r="A99" s="2406"/>
      <c r="B99" s="2382" t="s">
        <v>22</v>
      </c>
      <c r="C99" s="2001"/>
      <c r="D99" s="1427"/>
      <c r="E99" s="1427"/>
      <c r="F99" s="1427"/>
      <c r="G99" s="1427"/>
      <c r="H99" s="1427"/>
      <c r="I99" s="1427"/>
      <c r="J99" s="1979"/>
      <c r="K99" s="1985"/>
      <c r="L99" s="1985"/>
      <c r="M99" s="1985"/>
      <c r="N99" s="1985"/>
      <c r="O99" s="1985"/>
      <c r="P99" s="1974"/>
      <c r="Q99" s="1985"/>
      <c r="R99" s="1985"/>
      <c r="S99" s="1985"/>
      <c r="T99" s="1985"/>
      <c r="U99" s="1985"/>
      <c r="V99" s="1985"/>
      <c r="W99" s="1985"/>
      <c r="X99" s="1985"/>
      <c r="Y99" s="1985"/>
      <c r="Z99" s="1985"/>
      <c r="AA99" s="1447"/>
      <c r="AB99" s="2025"/>
      <c r="AC99" s="1979"/>
      <c r="AD99" s="1974"/>
      <c r="AE99" s="1976"/>
      <c r="AF99" s="1974"/>
      <c r="AG99" s="1985"/>
      <c r="AH99" s="2431"/>
      <c r="AI99" s="1427"/>
      <c r="AJ99" s="2432"/>
      <c r="AK99" s="1416"/>
      <c r="AM99" s="2374"/>
      <c r="AO99" s="2374"/>
    </row>
    <row r="100" spans="1:41" ht="15" customHeight="1">
      <c r="A100" s="2406"/>
      <c r="B100" s="2023" t="s">
        <v>150</v>
      </c>
      <c r="C100" s="2001"/>
      <c r="D100" s="2432"/>
      <c r="E100" s="2432"/>
      <c r="F100" s="2432"/>
      <c r="G100" s="2432"/>
      <c r="H100" s="2432"/>
      <c r="I100" s="2432"/>
      <c r="J100" s="2020"/>
      <c r="K100" s="1986"/>
      <c r="L100" s="1986"/>
      <c r="M100" s="1986"/>
      <c r="N100" s="1986"/>
      <c r="O100" s="1986"/>
      <c r="P100" s="1956"/>
      <c r="Q100" s="1986"/>
      <c r="R100" s="1986"/>
      <c r="S100" s="1986"/>
      <c r="T100" s="1986"/>
      <c r="U100" s="1986"/>
      <c r="V100" s="1986"/>
      <c r="W100" s="1986"/>
      <c r="X100" s="1986"/>
      <c r="Y100" s="1986"/>
      <c r="Z100" s="1768"/>
      <c r="AA100" s="1447"/>
      <c r="AB100" s="2025"/>
      <c r="AC100" s="3100"/>
      <c r="AD100" s="1974"/>
      <c r="AE100" s="1976"/>
      <c r="AF100" s="3421"/>
      <c r="AG100" s="2449"/>
      <c r="AH100" s="2431"/>
      <c r="AI100" s="1427"/>
      <c r="AJ100" s="2432"/>
      <c r="AK100" s="1416"/>
      <c r="AM100" s="2374"/>
      <c r="AO100" s="2374"/>
    </row>
    <row r="101" spans="1:41" ht="15" customHeight="1">
      <c r="A101" s="2406"/>
      <c r="B101" s="2415" t="s">
        <v>24</v>
      </c>
      <c r="C101" s="2001"/>
      <c r="D101" s="3795">
        <v>523.4</v>
      </c>
      <c r="E101" s="2432"/>
      <c r="F101" s="1768">
        <v>3899.2000000000003</v>
      </c>
      <c r="G101" s="2432"/>
      <c r="H101" s="1768">
        <v>2835.2999999999997</v>
      </c>
      <c r="I101" s="2432"/>
      <c r="J101" s="1768">
        <v>1505.4999999999995</v>
      </c>
      <c r="K101" s="1977"/>
      <c r="L101" s="1768">
        <v>723.29999999999927</v>
      </c>
      <c r="M101" s="1977"/>
      <c r="N101" s="1768">
        <v>1656.900000000001</v>
      </c>
      <c r="O101" s="1977"/>
      <c r="P101" s="1768">
        <v>1437.8999999999992</v>
      </c>
      <c r="Q101" s="1977"/>
      <c r="R101" s="1768">
        <v>1664.3999999999992</v>
      </c>
      <c r="S101" s="1977"/>
      <c r="T101" s="1768">
        <v>2834.2999999999988</v>
      </c>
      <c r="U101" s="1977"/>
      <c r="V101" s="1768">
        <f t="shared" ref="V101:V110" si="21">$AC101-$D101-$F101-L101-T101-R101-P101-N101-J101-H101</f>
        <v>1133.2000000000007</v>
      </c>
      <c r="W101" s="1977"/>
      <c r="X101" s="1768"/>
      <c r="Y101" s="1977"/>
      <c r="Z101" s="1768"/>
      <c r="AA101" s="1978"/>
      <c r="AB101" s="1981"/>
      <c r="AC101" s="1784">
        <v>18213.400000000001</v>
      </c>
      <c r="AD101" s="2020"/>
      <c r="AE101" s="1981" t="s">
        <v>14</v>
      </c>
      <c r="AF101" s="1784">
        <v>16239.1</v>
      </c>
      <c r="AG101" s="2449"/>
      <c r="AH101" s="2431"/>
      <c r="AI101" s="1427">
        <f>ROUND(SUM(+AC101-AF101),1)</f>
        <v>1974.3</v>
      </c>
      <c r="AJ101" s="2432"/>
      <c r="AK101" s="1422">
        <f>ROUND(IF(AF101=0,0,AI101/ABS(AF101)),3)</f>
        <v>0.122</v>
      </c>
      <c r="AM101" s="2374"/>
      <c r="AO101" s="2374"/>
    </row>
    <row r="102" spans="1:41" ht="15" customHeight="1">
      <c r="A102" s="2406"/>
      <c r="B102" s="2415" t="s">
        <v>25</v>
      </c>
      <c r="C102" s="2001"/>
      <c r="D102" s="3795">
        <v>0</v>
      </c>
      <c r="E102" s="1427"/>
      <c r="F102" s="1768">
        <v>1.7</v>
      </c>
      <c r="G102" s="1427"/>
      <c r="H102" s="1768">
        <v>4</v>
      </c>
      <c r="I102" s="1427"/>
      <c r="J102" s="1768">
        <v>9.9999999999999645E-2</v>
      </c>
      <c r="K102" s="1977"/>
      <c r="L102" s="1768">
        <v>0.10000000000000053</v>
      </c>
      <c r="M102" s="1977"/>
      <c r="N102" s="1768">
        <v>0</v>
      </c>
      <c r="O102" s="1977"/>
      <c r="P102" s="1768">
        <v>9.9999999999999645E-2</v>
      </c>
      <c r="Q102" s="1977"/>
      <c r="R102" s="1768">
        <v>0.29999999999999982</v>
      </c>
      <c r="S102" s="1977"/>
      <c r="T102" s="1768">
        <v>0</v>
      </c>
      <c r="U102" s="1977"/>
      <c r="V102" s="1768">
        <f t="shared" si="21"/>
        <v>0.10000000000000053</v>
      </c>
      <c r="W102" s="1977"/>
      <c r="X102" s="1768"/>
      <c r="Y102" s="1977"/>
      <c r="Z102" s="1768"/>
      <c r="AA102" s="1978"/>
      <c r="AB102" s="1981"/>
      <c r="AC102" s="1784">
        <v>6.4</v>
      </c>
      <c r="AD102" s="2020"/>
      <c r="AE102" s="1981" t="s">
        <v>14</v>
      </c>
      <c r="AF102" s="1784">
        <v>0.5</v>
      </c>
      <c r="AG102" s="1985"/>
      <c r="AH102" s="2431"/>
      <c r="AI102" s="1427">
        <f t="shared" ref="AI102:AI110" si="22">ROUND(SUM(+AC102-AF102),1)</f>
        <v>5.9</v>
      </c>
      <c r="AJ102" s="2432"/>
      <c r="AK102" s="1463">
        <f>ROUND(IF(AF102=0,1,AI102/ABS(AF102)),3)</f>
        <v>11.8</v>
      </c>
      <c r="AM102" s="2374"/>
      <c r="AO102" s="2374"/>
    </row>
    <row r="103" spans="1:41" ht="15" customHeight="1">
      <c r="A103" s="2406"/>
      <c r="B103" s="2415" t="s">
        <v>26</v>
      </c>
      <c r="C103" s="2001"/>
      <c r="D103" s="3795">
        <v>2.9</v>
      </c>
      <c r="E103" s="1427"/>
      <c r="F103" s="1768">
        <v>48.6</v>
      </c>
      <c r="G103" s="1427"/>
      <c r="H103" s="1768">
        <v>450.8</v>
      </c>
      <c r="I103" s="1427"/>
      <c r="J103" s="1768">
        <v>-37</v>
      </c>
      <c r="K103" s="1977"/>
      <c r="L103" s="1768">
        <v>34.199999999999989</v>
      </c>
      <c r="M103" s="1977"/>
      <c r="N103" s="1768">
        <v>109.40000000000003</v>
      </c>
      <c r="O103" s="1977"/>
      <c r="P103" s="1768">
        <v>34.300000000000011</v>
      </c>
      <c r="Q103" s="1977"/>
      <c r="R103" s="1768">
        <v>20.000000000000057</v>
      </c>
      <c r="S103" s="1977"/>
      <c r="T103" s="1768">
        <v>249.89999999999981</v>
      </c>
      <c r="U103" s="1977"/>
      <c r="V103" s="1768">
        <f t="shared" si="21"/>
        <v>21.900000000000091</v>
      </c>
      <c r="W103" s="1977"/>
      <c r="X103" s="1768"/>
      <c r="Y103" s="1977"/>
      <c r="Z103" s="1768"/>
      <c r="AA103" s="1978"/>
      <c r="AB103" s="1981"/>
      <c r="AC103" s="1784">
        <v>935</v>
      </c>
      <c r="AD103" s="2020"/>
      <c r="AE103" s="1981" t="s">
        <v>14</v>
      </c>
      <c r="AF103" s="1784">
        <v>815.9</v>
      </c>
      <c r="AG103" s="1985"/>
      <c r="AH103" s="2431"/>
      <c r="AI103" s="1427">
        <f t="shared" si="22"/>
        <v>119.1</v>
      </c>
      <c r="AJ103" s="2432"/>
      <c r="AK103" s="1422">
        <f>ROUND(IF(AF103=0,0,AI103/ABS(AF103)),3)</f>
        <v>0.14599999999999999</v>
      </c>
      <c r="AM103" s="2374"/>
      <c r="AO103" s="2374"/>
    </row>
    <row r="104" spans="1:41" ht="15" customHeight="1">
      <c r="A104" s="2406"/>
      <c r="B104" s="2415" t="s">
        <v>27</v>
      </c>
      <c r="C104" s="2001"/>
      <c r="D104" s="3795"/>
      <c r="E104" s="1427"/>
      <c r="F104" s="1768" t="s">
        <v>14</v>
      </c>
      <c r="G104" s="1427" t="s">
        <v>14</v>
      </c>
      <c r="H104" s="1768" t="s">
        <v>14</v>
      </c>
      <c r="I104" s="1427"/>
      <c r="J104" s="1768"/>
      <c r="K104" s="1977"/>
      <c r="L104" s="1768"/>
      <c r="M104" s="1977"/>
      <c r="N104" s="1768"/>
      <c r="O104" s="1977"/>
      <c r="P104" s="1768"/>
      <c r="Q104" s="1977"/>
      <c r="R104" s="1768"/>
      <c r="S104" s="1977"/>
      <c r="T104" s="1768"/>
      <c r="U104" s="1977"/>
      <c r="V104" s="1768"/>
      <c r="W104" s="1977"/>
      <c r="X104" s="1768"/>
      <c r="Y104" s="1977"/>
      <c r="Z104" s="1768"/>
      <c r="AA104" s="1978"/>
      <c r="AB104" s="1981"/>
      <c r="AC104" s="1784"/>
      <c r="AD104" s="2020"/>
      <c r="AE104" s="1981" t="s">
        <v>14</v>
      </c>
      <c r="AF104" s="1784"/>
      <c r="AG104" s="1985"/>
      <c r="AH104" s="2431"/>
      <c r="AI104" s="1427" t="s">
        <v>14</v>
      </c>
      <c r="AJ104" s="2432"/>
      <c r="AK104" s="1416" t="s">
        <v>14</v>
      </c>
      <c r="AM104" s="2374"/>
      <c r="AO104" s="2374"/>
    </row>
    <row r="105" spans="1:41" ht="15" customHeight="1">
      <c r="A105" s="2406"/>
      <c r="B105" s="2450" t="s">
        <v>28</v>
      </c>
      <c r="C105" s="2001"/>
      <c r="D105" s="3795">
        <v>2741</v>
      </c>
      <c r="E105" s="1427"/>
      <c r="F105" s="1768">
        <v>1493.1999999999998</v>
      </c>
      <c r="G105" s="1427"/>
      <c r="H105" s="1768">
        <v>1799.1999999999998</v>
      </c>
      <c r="I105" s="1427"/>
      <c r="J105" s="1768">
        <v>995.69999999999982</v>
      </c>
      <c r="K105" s="1977"/>
      <c r="L105" s="1768">
        <v>1432.0000000000009</v>
      </c>
      <c r="M105" s="1977"/>
      <c r="N105" s="1768">
        <v>1322.6000000000004</v>
      </c>
      <c r="O105" s="1977"/>
      <c r="P105" s="1768">
        <v>1782.0999999999985</v>
      </c>
      <c r="Q105" s="1977"/>
      <c r="R105" s="1768">
        <v>1551.800000000002</v>
      </c>
      <c r="S105" s="1977"/>
      <c r="T105" s="1768">
        <v>1765.1999999999962</v>
      </c>
      <c r="U105" s="1977"/>
      <c r="V105" s="1768">
        <f t="shared" si="21"/>
        <v>1263.2000000000016</v>
      </c>
      <c r="W105" s="1977"/>
      <c r="X105" s="1768"/>
      <c r="Y105" s="1977"/>
      <c r="Z105" s="1768"/>
      <c r="AA105" s="1978"/>
      <c r="AB105" s="1981"/>
      <c r="AC105" s="1784">
        <v>16146</v>
      </c>
      <c r="AD105" s="2020"/>
      <c r="AE105" s="1981" t="s">
        <v>14</v>
      </c>
      <c r="AF105" s="1784">
        <v>12928.1</v>
      </c>
      <c r="AG105" s="1985"/>
      <c r="AH105" s="2431"/>
      <c r="AI105" s="1427">
        <f t="shared" si="22"/>
        <v>3217.9</v>
      </c>
      <c r="AJ105" s="2432"/>
      <c r="AK105" s="1463">
        <f t="shared" ref="AK105:AK108" si="23">ROUND(IF(AF105=0,0,AI105/ABS(AF105)),3)</f>
        <v>0.249</v>
      </c>
      <c r="AM105" s="2374"/>
      <c r="AO105" s="2374"/>
    </row>
    <row r="106" spans="1:41" ht="15" customHeight="1">
      <c r="A106" s="2406"/>
      <c r="B106" s="2415" t="s">
        <v>29</v>
      </c>
      <c r="C106" s="2001"/>
      <c r="D106" s="3795">
        <v>47.9</v>
      </c>
      <c r="E106" s="1427"/>
      <c r="F106" s="1768">
        <v>102.1</v>
      </c>
      <c r="G106" s="1427"/>
      <c r="H106" s="1768">
        <v>400.80000000000007</v>
      </c>
      <c r="I106" s="1427"/>
      <c r="J106" s="1768">
        <v>156.39999999999986</v>
      </c>
      <c r="K106" s="1977"/>
      <c r="L106" s="1768">
        <v>113.60000000000002</v>
      </c>
      <c r="M106" s="1977"/>
      <c r="N106" s="1768">
        <v>317.49999999999989</v>
      </c>
      <c r="O106" s="1977"/>
      <c r="P106" s="1768">
        <v>185.90000000000043</v>
      </c>
      <c r="Q106" s="1977"/>
      <c r="R106" s="1768">
        <v>145.0999999999998</v>
      </c>
      <c r="S106" s="1977"/>
      <c r="T106" s="1768">
        <v>409.79999999999984</v>
      </c>
      <c r="U106" s="1977"/>
      <c r="V106" s="1768">
        <f t="shared" si="21"/>
        <v>88.500000000000114</v>
      </c>
      <c r="W106" s="1977"/>
      <c r="X106" s="1768"/>
      <c r="Y106" s="1977"/>
      <c r="Z106" s="1768"/>
      <c r="AA106" s="1978"/>
      <c r="AB106" s="1981"/>
      <c r="AC106" s="1784">
        <v>1967.6</v>
      </c>
      <c r="AD106" s="2020"/>
      <c r="AE106" s="1981" t="s">
        <v>14</v>
      </c>
      <c r="AF106" s="1784">
        <v>1874</v>
      </c>
      <c r="AG106" s="1985"/>
      <c r="AH106" s="2431"/>
      <c r="AI106" s="1427">
        <f t="shared" si="22"/>
        <v>93.6</v>
      </c>
      <c r="AJ106" s="2432"/>
      <c r="AK106" s="1422">
        <f t="shared" si="23"/>
        <v>0.05</v>
      </c>
      <c r="AM106" s="2374"/>
      <c r="AO106" s="2374"/>
    </row>
    <row r="107" spans="1:41" ht="15" customHeight="1">
      <c r="A107" s="2406"/>
      <c r="B107" s="2415" t="s">
        <v>30</v>
      </c>
      <c r="C107" s="2001"/>
      <c r="D107" s="3795">
        <v>4.5</v>
      </c>
      <c r="E107" s="1427"/>
      <c r="F107" s="1768">
        <v>29.6</v>
      </c>
      <c r="G107" s="1427"/>
      <c r="H107" s="1768">
        <v>9.1999999999999957</v>
      </c>
      <c r="I107" s="1427"/>
      <c r="J107" s="1768">
        <v>6.5</v>
      </c>
      <c r="K107" s="1977"/>
      <c r="L107" s="1768">
        <v>10.5</v>
      </c>
      <c r="M107" s="1977"/>
      <c r="N107" s="1768">
        <v>19.400000000000006</v>
      </c>
      <c r="O107" s="1977"/>
      <c r="P107" s="1768">
        <v>41.099999999999987</v>
      </c>
      <c r="Q107" s="1977"/>
      <c r="R107" s="1768">
        <v>9.1000000000000227</v>
      </c>
      <c r="S107" s="1977"/>
      <c r="T107" s="1768">
        <v>10</v>
      </c>
      <c r="U107" s="1977"/>
      <c r="V107" s="1768">
        <f t="shared" si="21"/>
        <v>37.199999999999982</v>
      </c>
      <c r="W107" s="1977"/>
      <c r="X107" s="1768"/>
      <c r="Y107" s="1977"/>
      <c r="Z107" s="1768"/>
      <c r="AA107" s="1978"/>
      <c r="AB107" s="1981"/>
      <c r="AC107" s="1784">
        <v>177.1</v>
      </c>
      <c r="AD107" s="2020"/>
      <c r="AE107" s="1981" t="s">
        <v>14</v>
      </c>
      <c r="AF107" s="1784">
        <v>93.5</v>
      </c>
      <c r="AG107" s="1985"/>
      <c r="AH107" s="2431" t="s">
        <v>14</v>
      </c>
      <c r="AI107" s="1427">
        <f t="shared" si="22"/>
        <v>83.6</v>
      </c>
      <c r="AJ107" s="2432"/>
      <c r="AK107" s="1422">
        <f t="shared" si="23"/>
        <v>0.89400000000000002</v>
      </c>
      <c r="AM107" s="2374"/>
      <c r="AO107" s="2374"/>
    </row>
    <row r="108" spans="1:41" ht="15" customHeight="1">
      <c r="A108" s="2406"/>
      <c r="B108" s="2415" t="s">
        <v>31</v>
      </c>
      <c r="C108" s="2001"/>
      <c r="D108" s="3795">
        <v>43.3</v>
      </c>
      <c r="E108" s="1427"/>
      <c r="F108" s="1768">
        <v>100.3</v>
      </c>
      <c r="G108" s="1427"/>
      <c r="H108" s="1768">
        <v>283.79999999999995</v>
      </c>
      <c r="I108" s="1427"/>
      <c r="J108" s="1768">
        <v>318.80000000000018</v>
      </c>
      <c r="K108" s="1977"/>
      <c r="L108" s="1768">
        <v>343.19999999999982</v>
      </c>
      <c r="M108" s="1977"/>
      <c r="N108" s="1768">
        <v>943.2</v>
      </c>
      <c r="O108" s="1977"/>
      <c r="P108" s="1768">
        <v>1513.9999999999993</v>
      </c>
      <c r="Q108" s="1977"/>
      <c r="R108" s="1768">
        <v>110.7000000000005</v>
      </c>
      <c r="S108" s="1977"/>
      <c r="T108" s="1768">
        <v>463.59999999999923</v>
      </c>
      <c r="U108" s="1977"/>
      <c r="V108" s="1768">
        <f t="shared" si="21"/>
        <v>284.90000000000032</v>
      </c>
      <c r="W108" s="1977"/>
      <c r="X108" s="1768"/>
      <c r="Y108" s="1977"/>
      <c r="Z108" s="1768"/>
      <c r="AA108" s="1978"/>
      <c r="AB108" s="1981"/>
      <c r="AC108" s="1784">
        <v>4405.8</v>
      </c>
      <c r="AD108" s="2020"/>
      <c r="AE108" s="1981" t="s">
        <v>14</v>
      </c>
      <c r="AF108" s="1784">
        <v>1971.6</v>
      </c>
      <c r="AG108" s="1985"/>
      <c r="AH108" s="2431"/>
      <c r="AI108" s="1427">
        <f t="shared" si="22"/>
        <v>2434.1999999999998</v>
      </c>
      <c r="AJ108" s="2432"/>
      <c r="AK108" s="1422">
        <f t="shared" si="23"/>
        <v>1.2350000000000001</v>
      </c>
      <c r="AM108" s="2374"/>
      <c r="AO108" s="2374"/>
    </row>
    <row r="109" spans="1:41" ht="15" customHeight="1">
      <c r="A109" s="2406"/>
      <c r="B109" s="2415" t="s">
        <v>32</v>
      </c>
      <c r="C109" s="2001"/>
      <c r="D109" s="3795">
        <v>5</v>
      </c>
      <c r="E109" s="1427"/>
      <c r="F109" s="1768">
        <v>7</v>
      </c>
      <c r="G109" s="1427"/>
      <c r="H109" s="1768">
        <v>210.4</v>
      </c>
      <c r="I109" s="1427"/>
      <c r="J109" s="1768">
        <v>25.299999999999983</v>
      </c>
      <c r="K109" s="1977"/>
      <c r="L109" s="1768">
        <v>11.699999999999989</v>
      </c>
      <c r="M109" s="1977"/>
      <c r="N109" s="1768">
        <v>13.100000000000023</v>
      </c>
      <c r="O109" s="1977"/>
      <c r="P109" s="1768">
        <v>221.99999999999997</v>
      </c>
      <c r="Q109" s="1977"/>
      <c r="R109" s="1768">
        <v>212.6</v>
      </c>
      <c r="S109" s="1977"/>
      <c r="T109" s="1768">
        <v>7.4000000000000341</v>
      </c>
      <c r="U109" s="1977"/>
      <c r="V109" s="1768">
        <f t="shared" si="21"/>
        <v>3.6999999999999034</v>
      </c>
      <c r="W109" s="1977"/>
      <c r="X109" s="1768"/>
      <c r="Y109" s="1977"/>
      <c r="Z109" s="1768"/>
      <c r="AA109" s="1978"/>
      <c r="AB109" s="1981"/>
      <c r="AC109" s="1784">
        <v>718.19999999999993</v>
      </c>
      <c r="AD109" s="2020"/>
      <c r="AE109" s="1981" t="s">
        <v>14</v>
      </c>
      <c r="AF109" s="1784">
        <v>66.2</v>
      </c>
      <c r="AG109" s="1985"/>
      <c r="AH109" s="2431"/>
      <c r="AI109" s="1427">
        <f t="shared" si="22"/>
        <v>652</v>
      </c>
      <c r="AJ109" s="2432"/>
      <c r="AK109" s="1463">
        <f>ROUND(IF(AF109=0,0,AI109/ABS(AF109)),3)</f>
        <v>9.8490000000000002</v>
      </c>
      <c r="AM109" s="2374"/>
      <c r="AO109" s="2374"/>
    </row>
    <row r="110" spans="1:41" ht="15" customHeight="1">
      <c r="A110" s="2406"/>
      <c r="B110" s="2415" t="s">
        <v>33</v>
      </c>
      <c r="C110" s="2001"/>
      <c r="D110" s="3795">
        <v>9.5</v>
      </c>
      <c r="E110" s="1427"/>
      <c r="F110" s="1768">
        <v>22.4</v>
      </c>
      <c r="G110" s="1427"/>
      <c r="H110" s="1768">
        <v>15.300000000000004</v>
      </c>
      <c r="I110" s="1427"/>
      <c r="J110" s="1768">
        <v>0</v>
      </c>
      <c r="K110" s="1977"/>
      <c r="L110" s="1768">
        <v>25.099999999999994</v>
      </c>
      <c r="M110" s="1977"/>
      <c r="N110" s="1768">
        <v>0.10000000000000853</v>
      </c>
      <c r="O110" s="1977"/>
      <c r="P110" s="1768">
        <v>0</v>
      </c>
      <c r="Q110" s="1977"/>
      <c r="R110" s="1768">
        <v>25.099999999999987</v>
      </c>
      <c r="S110" s="1977"/>
      <c r="T110" s="1768">
        <v>11.599999999999994</v>
      </c>
      <c r="U110" s="1977"/>
      <c r="V110" s="1768">
        <f t="shared" si="21"/>
        <v>0</v>
      </c>
      <c r="W110" s="1977"/>
      <c r="X110" s="1768"/>
      <c r="Y110" s="1977"/>
      <c r="Z110" s="1768"/>
      <c r="AA110" s="1978"/>
      <c r="AB110" s="1981"/>
      <c r="AC110" s="1784">
        <v>109.1</v>
      </c>
      <c r="AD110" s="2020"/>
      <c r="AE110" s="1981" t="s">
        <v>14</v>
      </c>
      <c r="AF110" s="1784">
        <v>80.400000000000006</v>
      </c>
      <c r="AG110" s="2017"/>
      <c r="AH110" s="2451"/>
      <c r="AI110" s="1427">
        <f t="shared" si="22"/>
        <v>28.7</v>
      </c>
      <c r="AJ110" s="2452"/>
      <c r="AK110" s="1463">
        <f>ROUND(IF(AF110=0,1,AI110/ABS(AF110)),3)</f>
        <v>0.35699999999999998</v>
      </c>
      <c r="AM110" s="2374"/>
      <c r="AO110" s="2374"/>
    </row>
    <row r="111" spans="1:41" ht="15" customHeight="1">
      <c r="A111" s="2406"/>
      <c r="B111" s="2424" t="s">
        <v>891</v>
      </c>
      <c r="C111" s="2001"/>
      <c r="D111" s="2021">
        <f>ROUND(SUM(D101:D110),1)</f>
        <v>3377.5</v>
      </c>
      <c r="E111" s="1445"/>
      <c r="F111" s="2021">
        <f>ROUND(SUM(F101:F110),1)</f>
        <v>5704.1</v>
      </c>
      <c r="G111" s="1445"/>
      <c r="H111" s="2021">
        <f>ROUND(SUM(H101:H110),1)</f>
        <v>6008.8</v>
      </c>
      <c r="I111" s="1428"/>
      <c r="J111" s="1444">
        <f>ROUND(SUM(J101:J110),1)</f>
        <v>2971.3</v>
      </c>
      <c r="K111" s="1428"/>
      <c r="L111" s="2021">
        <f>ROUND(SUM(L101:L110),1)</f>
        <v>2693.7</v>
      </c>
      <c r="M111" s="1428"/>
      <c r="N111" s="2021">
        <f>ROUND(SUM(N101:N110),1)</f>
        <v>4382.2</v>
      </c>
      <c r="O111" s="1428"/>
      <c r="P111" s="1444">
        <f>ROUND(SUM(P101:P110),1)</f>
        <v>5217.3999999999996</v>
      </c>
      <c r="Q111" s="1428"/>
      <c r="R111" s="2021">
        <f>ROUND(SUM(R101:R110),1)</f>
        <v>3739.1</v>
      </c>
      <c r="S111" s="1428"/>
      <c r="T111" s="2021">
        <f>ROUND(SUM(T101:T110),1)</f>
        <v>5751.8</v>
      </c>
      <c r="U111" s="1428"/>
      <c r="V111" s="2021">
        <f>ROUND(SUM(V101:V110),1)</f>
        <v>2832.7</v>
      </c>
      <c r="W111" s="1428"/>
      <c r="X111" s="2021">
        <f>ROUND(SUM(X101:X110),1)</f>
        <v>0</v>
      </c>
      <c r="Y111" s="1428"/>
      <c r="Z111" s="2021">
        <f>ROUND(SUM(Z101:Z110),1)</f>
        <v>0</v>
      </c>
      <c r="AA111" s="2032"/>
      <c r="AB111" s="2028"/>
      <c r="AC111" s="1444">
        <f>SUM(AC101:AC110)</f>
        <v>42678.6</v>
      </c>
      <c r="AD111" s="2029"/>
      <c r="AE111" s="3098" t="s">
        <v>14</v>
      </c>
      <c r="AF111" s="1444">
        <f>ROUND(SUM(AF101:AF110),1)</f>
        <v>34069.300000000003</v>
      </c>
      <c r="AG111" s="1428"/>
      <c r="AH111" s="2435"/>
      <c r="AI111" s="2021">
        <f>ROUND(SUM(+AC111-AF111),1)</f>
        <v>8609.2999999999993</v>
      </c>
      <c r="AJ111" s="1428"/>
      <c r="AK111" s="2453">
        <f>ROUND(SUM(AI111/AF111),3)</f>
        <v>0.253</v>
      </c>
      <c r="AM111" s="2374"/>
      <c r="AO111" s="2374"/>
    </row>
    <row r="112" spans="1:41" ht="15" customHeight="1">
      <c r="A112" s="2406"/>
      <c r="B112" s="2023" t="s">
        <v>151</v>
      </c>
      <c r="C112" s="2001"/>
      <c r="D112" s="1427"/>
      <c r="E112" s="1427"/>
      <c r="F112" s="1427"/>
      <c r="G112" s="1427"/>
      <c r="H112" s="1427"/>
      <c r="I112" s="1427"/>
      <c r="J112" s="1979"/>
      <c r="K112" s="1985"/>
      <c r="L112" s="1985"/>
      <c r="M112" s="1985"/>
      <c r="N112" s="1985"/>
      <c r="O112" s="1985"/>
      <c r="P112" s="1974"/>
      <c r="Q112" s="1985"/>
      <c r="R112" s="1985"/>
      <c r="S112" s="1985"/>
      <c r="T112" s="1985"/>
      <c r="U112" s="1985"/>
      <c r="V112" s="1985"/>
      <c r="W112" s="1985"/>
      <c r="X112" s="1985"/>
      <c r="Y112" s="1985"/>
      <c r="Z112" s="1985"/>
      <c r="AA112" s="1447"/>
      <c r="AB112" s="2025"/>
      <c r="AC112" s="1979"/>
      <c r="AD112" s="1974"/>
      <c r="AE112" s="1976"/>
      <c r="AF112" s="1974"/>
      <c r="AG112" s="1985"/>
      <c r="AH112" s="2431"/>
      <c r="AI112" s="1427"/>
      <c r="AJ112" s="2432"/>
      <c r="AK112" s="1416"/>
      <c r="AM112" s="2374"/>
      <c r="AO112" s="2374"/>
    </row>
    <row r="113" spans="1:41" ht="15" customHeight="1">
      <c r="A113" s="2406"/>
      <c r="B113" s="2023" t="s">
        <v>152</v>
      </c>
      <c r="C113" s="2001"/>
      <c r="D113" s="3795">
        <v>707.6</v>
      </c>
      <c r="E113" s="1427"/>
      <c r="F113" s="1768">
        <v>725.4</v>
      </c>
      <c r="G113" s="1427"/>
      <c r="H113" s="1768">
        <v>382.19999999999993</v>
      </c>
      <c r="I113" s="1427"/>
      <c r="J113" s="1768">
        <v>863.20000000000016</v>
      </c>
      <c r="K113" s="1977"/>
      <c r="L113" s="1768">
        <v>673.4</v>
      </c>
      <c r="M113" s="1977"/>
      <c r="N113" s="1768">
        <v>820.1999999999997</v>
      </c>
      <c r="O113" s="1977"/>
      <c r="P113" s="1768">
        <v>665.39999999999907</v>
      </c>
      <c r="Q113" s="1977"/>
      <c r="R113" s="1768">
        <v>872.90000000000089</v>
      </c>
      <c r="S113" s="1977"/>
      <c r="T113" s="1768">
        <v>216.5</v>
      </c>
      <c r="U113" s="1977"/>
      <c r="V113" s="1768">
        <f t="shared" ref="V113:V115" si="24">$AC113-$D113-$F113-L113-T113-R113-P113-N113-J113-H113</f>
        <v>666.70000000000016</v>
      </c>
      <c r="W113" s="1977"/>
      <c r="X113" s="1768"/>
      <c r="Y113" s="1977"/>
      <c r="Z113" s="1768"/>
      <c r="AA113" s="1978"/>
      <c r="AB113" s="1981"/>
      <c r="AC113" s="1784">
        <v>6593.5</v>
      </c>
      <c r="AD113" s="2020"/>
      <c r="AE113" s="1981" t="s">
        <v>14</v>
      </c>
      <c r="AF113" s="1784">
        <v>5709.8</v>
      </c>
      <c r="AG113" s="1985"/>
      <c r="AH113" s="2431"/>
      <c r="AI113" s="1427">
        <f>ROUND(SUM(+AC113-AF113),1)</f>
        <v>883.7</v>
      </c>
      <c r="AJ113" s="2432"/>
      <c r="AK113" s="1422">
        <f>ROUND(IF(AF113=0,0,AI113/ABS(AF113)),3)</f>
        <v>0.155</v>
      </c>
      <c r="AM113" s="2374"/>
      <c r="AO113" s="2374"/>
    </row>
    <row r="114" spans="1:41" ht="15" customHeight="1">
      <c r="A114" s="2406"/>
      <c r="B114" s="2454" t="s">
        <v>153</v>
      </c>
      <c r="C114" s="2001"/>
      <c r="D114" s="3795">
        <v>136.69999999999999</v>
      </c>
      <c r="E114" s="1427"/>
      <c r="F114" s="1768">
        <v>234.2</v>
      </c>
      <c r="G114" s="1427"/>
      <c r="H114" s="1768">
        <v>183</v>
      </c>
      <c r="I114" s="1427"/>
      <c r="J114" s="1768">
        <v>118.89999999999992</v>
      </c>
      <c r="K114" s="1977"/>
      <c r="L114" s="1768">
        <v>240.90000000000003</v>
      </c>
      <c r="M114" s="1977"/>
      <c r="N114" s="1768">
        <v>248.09999999999985</v>
      </c>
      <c r="O114" s="1977"/>
      <c r="P114" s="1768">
        <v>228.60000000000008</v>
      </c>
      <c r="Q114" s="1977"/>
      <c r="R114" s="1768">
        <v>208.79999999999995</v>
      </c>
      <c r="S114" s="1977"/>
      <c r="T114" s="1768">
        <v>270.50000000000006</v>
      </c>
      <c r="U114" s="1977"/>
      <c r="V114" s="1768">
        <f t="shared" si="24"/>
        <v>381.20000000000027</v>
      </c>
      <c r="W114" s="1977"/>
      <c r="X114" s="1768"/>
      <c r="Y114" s="1977"/>
      <c r="Z114" s="1768"/>
      <c r="AA114" s="1978"/>
      <c r="AB114" s="1981"/>
      <c r="AC114" s="1784">
        <v>2250.9</v>
      </c>
      <c r="AD114" s="2020"/>
      <c r="AE114" s="1981" t="s">
        <v>14</v>
      </c>
      <c r="AF114" s="1784">
        <v>1486.3000000000002</v>
      </c>
      <c r="AG114" s="1985"/>
      <c r="AH114" s="2431"/>
      <c r="AI114" s="1427">
        <f>ROUND(SUM(+AC114-AF114),1)</f>
        <v>764.6</v>
      </c>
      <c r="AJ114" s="2432"/>
      <c r="AK114" s="1422">
        <f>ROUND(IF(AF114=0,0,AI114/ABS(AF114)),3)</f>
        <v>0.51400000000000001</v>
      </c>
      <c r="AM114" s="2374"/>
      <c r="AO114" s="2374"/>
    </row>
    <row r="115" spans="1:41" ht="15" customHeight="1">
      <c r="A115" s="2406"/>
      <c r="B115" s="2454" t="s">
        <v>154</v>
      </c>
      <c r="C115" s="2001"/>
      <c r="D115" s="3795">
        <v>810.3</v>
      </c>
      <c r="E115" s="2439"/>
      <c r="F115" s="1768">
        <v>2276.6000000000004</v>
      </c>
      <c r="G115" s="2439"/>
      <c r="H115" s="1768">
        <v>392.29999999999927</v>
      </c>
      <c r="I115" s="1427"/>
      <c r="J115" s="1768">
        <v>419.20000000000073</v>
      </c>
      <c r="K115" s="1977"/>
      <c r="L115" s="1768">
        <v>402.39999999999964</v>
      </c>
      <c r="M115" s="1977"/>
      <c r="N115" s="1768">
        <v>611.89999999999964</v>
      </c>
      <c r="O115" s="1977"/>
      <c r="P115" s="1768">
        <v>531.19999999999982</v>
      </c>
      <c r="Q115" s="1977"/>
      <c r="R115" s="1768">
        <v>644.70000000000073</v>
      </c>
      <c r="S115" s="1977"/>
      <c r="T115" s="1768">
        <v>52.199999999999818</v>
      </c>
      <c r="U115" s="1977"/>
      <c r="V115" s="1768">
        <f t="shared" si="24"/>
        <v>487.30000000000018</v>
      </c>
      <c r="W115" s="1977"/>
      <c r="X115" s="1768"/>
      <c r="Y115" s="1977"/>
      <c r="Z115" s="1768"/>
      <c r="AA115" s="1978"/>
      <c r="AB115" s="1981"/>
      <c r="AC115" s="1784">
        <v>6628.1</v>
      </c>
      <c r="AD115" s="2020"/>
      <c r="AE115" s="1981" t="s">
        <v>14</v>
      </c>
      <c r="AF115" s="1784">
        <v>5100.5</v>
      </c>
      <c r="AG115" s="1986"/>
      <c r="AH115" s="2431"/>
      <c r="AI115" s="2446">
        <f>ROUND(SUM(+AC115-AF115),1)</f>
        <v>1527.6</v>
      </c>
      <c r="AJ115" s="2432"/>
      <c r="AK115" s="1425">
        <f>ROUND(IF(AF115=0,0,AI115/ABS(AF115)),3)</f>
        <v>0.3</v>
      </c>
      <c r="AM115" s="2374"/>
      <c r="AO115" s="2374"/>
    </row>
    <row r="116" spans="1:41" ht="7.5" customHeight="1">
      <c r="A116" s="2406"/>
      <c r="B116" s="2023"/>
      <c r="C116" s="2001"/>
      <c r="D116" s="2447"/>
      <c r="E116" s="1427"/>
      <c r="F116" s="2447"/>
      <c r="G116" s="1427"/>
      <c r="H116" s="2447"/>
      <c r="I116" s="1427"/>
      <c r="J116" s="2448"/>
      <c r="K116" s="1985"/>
      <c r="L116" s="1984"/>
      <c r="M116" s="1985"/>
      <c r="N116" s="1984"/>
      <c r="O116" s="1985"/>
      <c r="P116" s="2030"/>
      <c r="Q116" s="1985"/>
      <c r="R116" s="2128"/>
      <c r="S116" s="1985"/>
      <c r="T116" s="1984"/>
      <c r="U116" s="1985"/>
      <c r="V116" s="1984"/>
      <c r="W116" s="1985"/>
      <c r="X116" s="1984"/>
      <c r="Y116" s="1985"/>
      <c r="Z116" s="1984"/>
      <c r="AA116" s="1992"/>
      <c r="AB116" s="2025"/>
      <c r="AC116" s="3099"/>
      <c r="AD116" s="1974"/>
      <c r="AE116" s="1976"/>
      <c r="AF116" s="2030"/>
      <c r="AG116" s="1986"/>
      <c r="AH116" s="2431"/>
      <c r="AI116" s="1427"/>
      <c r="AJ116" s="2432"/>
      <c r="AK116" s="1416"/>
      <c r="AM116" s="2374"/>
      <c r="AO116" s="2374"/>
    </row>
    <row r="117" spans="1:41" ht="15" customHeight="1">
      <c r="A117" s="2406"/>
      <c r="B117" s="2382" t="s">
        <v>155</v>
      </c>
      <c r="C117" s="2001"/>
      <c r="D117" s="1445">
        <f>ROUND(SUM(D113:D115)+D111,1)</f>
        <v>5032.1000000000004</v>
      </c>
      <c r="E117" s="1445"/>
      <c r="F117" s="1445">
        <f>ROUND(SUM(F111:F115),1)</f>
        <v>8940.2999999999993</v>
      </c>
      <c r="G117" s="1445"/>
      <c r="H117" s="1445">
        <f>ROUND(SUM(H111:H115),1)</f>
        <v>6966.3</v>
      </c>
      <c r="I117" s="1445"/>
      <c r="J117" s="2029">
        <f>ROUND(SUM(J111:J115),1)</f>
        <v>4372.6000000000004</v>
      </c>
      <c r="K117" s="1445"/>
      <c r="L117" s="1445">
        <f>ROUND(SUM(L111:L115),1)</f>
        <v>4010.4</v>
      </c>
      <c r="M117" s="1445"/>
      <c r="N117" s="1445">
        <f>ROUND(SUM(N111:N115),1)</f>
        <v>6062.4</v>
      </c>
      <c r="O117" s="1445"/>
      <c r="P117" s="2029">
        <f>ROUND(SUM(P111:P115),1)</f>
        <v>6642.6</v>
      </c>
      <c r="Q117" s="1445"/>
      <c r="R117" s="1445">
        <f>ROUND(SUM(R111:R115),1)</f>
        <v>5465.5</v>
      </c>
      <c r="S117" s="1445"/>
      <c r="T117" s="1445">
        <f>ROUND(SUM(T111:T115),1)</f>
        <v>6291</v>
      </c>
      <c r="U117" s="1445"/>
      <c r="V117" s="1445">
        <f>ROUND(SUM(V111:V115),1)</f>
        <v>4367.8999999999996</v>
      </c>
      <c r="W117" s="1445"/>
      <c r="X117" s="1445">
        <f>ROUND(SUM(X111:X115),1)</f>
        <v>0</v>
      </c>
      <c r="Y117" s="1445"/>
      <c r="Z117" s="1445">
        <f>ROUND(SUM(Z111:Z115),1)</f>
        <v>0</v>
      </c>
      <c r="AA117" s="2032"/>
      <c r="AB117" s="2028"/>
      <c r="AC117" s="2029">
        <f>ROUND(SUM(AC111:AC115),1)</f>
        <v>58151.1</v>
      </c>
      <c r="AD117" s="2029"/>
      <c r="AE117" s="3098"/>
      <c r="AF117" s="2029">
        <f>ROUND(SUM(AF111:AF115),1)</f>
        <v>46365.9</v>
      </c>
      <c r="AG117" s="1428"/>
      <c r="AH117" s="2435"/>
      <c r="AI117" s="1540">
        <f>ROUND(SUM(AI111:AI115),1)</f>
        <v>11785.2</v>
      </c>
      <c r="AJ117" s="1428"/>
      <c r="AK117" s="2455">
        <f>ROUND(SUM(AI117/AF117),3)</f>
        <v>0.254</v>
      </c>
      <c r="AM117" s="2374"/>
      <c r="AO117" s="2374"/>
    </row>
    <row r="118" spans="1:41" ht="15" customHeight="1">
      <c r="A118" s="2406"/>
      <c r="B118" s="2023"/>
      <c r="C118" s="2001"/>
      <c r="D118" s="2447"/>
      <c r="E118" s="1427"/>
      <c r="F118" s="2447"/>
      <c r="G118" s="1427"/>
      <c r="H118" s="2447"/>
      <c r="I118" s="1427"/>
      <c r="J118" s="2448"/>
      <c r="K118" s="1985"/>
      <c r="L118" s="1984"/>
      <c r="M118" s="1985"/>
      <c r="N118" s="1984"/>
      <c r="O118" s="1985"/>
      <c r="P118" s="2030"/>
      <c r="Q118" s="1985"/>
      <c r="R118" s="1984"/>
      <c r="S118" s="1985"/>
      <c r="T118" s="1984"/>
      <c r="U118" s="1985"/>
      <c r="V118" s="1984"/>
      <c r="W118" s="1985"/>
      <c r="X118" s="1984"/>
      <c r="Y118" s="1985"/>
      <c r="Z118" s="1984"/>
      <c r="AA118" s="1992"/>
      <c r="AB118" s="2025"/>
      <c r="AC118" s="3099"/>
      <c r="AD118" s="1974"/>
      <c r="AE118" s="1976"/>
      <c r="AF118" s="2030"/>
      <c r="AG118" s="1986"/>
      <c r="AH118" s="2431"/>
      <c r="AI118" s="1427"/>
      <c r="AJ118" s="2432"/>
      <c r="AK118" s="1416"/>
      <c r="AM118" s="2374"/>
      <c r="AO118" s="2374"/>
    </row>
    <row r="119" spans="1:41" ht="15" customHeight="1">
      <c r="A119" s="2406"/>
      <c r="B119" s="2382" t="s">
        <v>156</v>
      </c>
      <c r="C119" s="2001"/>
      <c r="D119" s="1427"/>
      <c r="E119" s="1427"/>
      <c r="F119" s="1427"/>
      <c r="G119" s="1427"/>
      <c r="H119" s="1427"/>
      <c r="I119" s="1427"/>
      <c r="J119" s="1979"/>
      <c r="K119" s="1985"/>
      <c r="L119" s="1985"/>
      <c r="M119" s="1985"/>
      <c r="N119" s="1985"/>
      <c r="O119" s="1985"/>
      <c r="P119" s="1974"/>
      <c r="Q119" s="1985"/>
      <c r="R119" s="1985"/>
      <c r="S119" s="1985"/>
      <c r="T119" s="1985"/>
      <c r="U119" s="1985"/>
      <c r="V119" s="1985"/>
      <c r="W119" s="1985"/>
      <c r="X119" s="1985"/>
      <c r="Y119" s="1985"/>
      <c r="Z119" s="1985"/>
      <c r="AA119" s="1447"/>
      <c r="AB119" s="2025"/>
      <c r="AC119" s="1979"/>
      <c r="AD119" s="1974"/>
      <c r="AE119" s="1976"/>
      <c r="AF119" s="1974"/>
      <c r="AG119" s="1985"/>
      <c r="AH119" s="2431"/>
      <c r="AI119" s="1427"/>
      <c r="AJ119" s="2432"/>
      <c r="AK119" s="1416"/>
      <c r="AM119" s="2374"/>
      <c r="AO119" s="2374"/>
    </row>
    <row r="120" spans="1:41" ht="15" customHeight="1">
      <c r="A120" s="2406"/>
      <c r="B120" s="2382" t="s">
        <v>44</v>
      </c>
      <c r="C120" s="2001"/>
      <c r="D120" s="1445">
        <f>ROUND(SUM(D97-D117),1)</f>
        <v>-394.6</v>
      </c>
      <c r="E120" s="1445"/>
      <c r="F120" s="1445">
        <f>ROUND(SUM(F97-F117),1)</f>
        <v>-3318.7</v>
      </c>
      <c r="G120" s="1445"/>
      <c r="H120" s="1445">
        <f>ROUND(SUM(H97-H117),1)</f>
        <v>-1778.1</v>
      </c>
      <c r="I120" s="1445"/>
      <c r="J120" s="2029">
        <f>ROUND(SUM(J97-J117),1)</f>
        <v>-1815.8</v>
      </c>
      <c r="K120" s="1445"/>
      <c r="L120" s="1445">
        <f>ROUND(SUM(L97-L117),1)</f>
        <v>-1455.1</v>
      </c>
      <c r="M120" s="1445"/>
      <c r="N120" s="1445">
        <f>ROUND(SUM(N97-N117),1)</f>
        <v>-302.60000000000002</v>
      </c>
      <c r="O120" s="1445"/>
      <c r="P120" s="2029">
        <f>ROUND(SUM(P97-P117),1)</f>
        <v>-4222.8999999999996</v>
      </c>
      <c r="Q120" s="1445"/>
      <c r="R120" s="1445">
        <f>ROUND(SUM(R97-R117),1)</f>
        <v>-2941.6</v>
      </c>
      <c r="S120" s="1445"/>
      <c r="T120" s="1445">
        <f>ROUND(SUM(T97-T117),1)</f>
        <v>4268.1000000000004</v>
      </c>
      <c r="U120" s="1445"/>
      <c r="V120" s="1445">
        <f>ROUND(SUM(V97-V117),1)</f>
        <v>359.5</v>
      </c>
      <c r="W120" s="1445"/>
      <c r="X120" s="1445">
        <f>ROUND(SUM(X97-X117),1)</f>
        <v>0</v>
      </c>
      <c r="Y120" s="1445"/>
      <c r="Z120" s="1445">
        <f>ROUND(SUM(Z97-Z117),1)</f>
        <v>0</v>
      </c>
      <c r="AA120" s="2032"/>
      <c r="AB120" s="2028"/>
      <c r="AC120" s="2029">
        <f>ROUND(SUM(AC97-AC117),1)</f>
        <v>-11601.8</v>
      </c>
      <c r="AD120" s="2029"/>
      <c r="AE120" s="3098"/>
      <c r="AF120" s="2029">
        <f>ROUND(SUM(AF97-AF117),1)</f>
        <v>-6785.6</v>
      </c>
      <c r="AG120" s="1445"/>
      <c r="AH120" s="2435"/>
      <c r="AI120" s="2031">
        <f>ROUND(SUM(+AC120-AF120),1)</f>
        <v>-4816.2</v>
      </c>
      <c r="AJ120" s="1428"/>
      <c r="AK120" s="2461">
        <f>-ROUND(AI120/AF120,3)</f>
        <v>-0.71</v>
      </c>
      <c r="AM120" s="2374"/>
      <c r="AO120" s="2374"/>
    </row>
    <row r="121" spans="1:41" ht="15" customHeight="1">
      <c r="A121" s="2406"/>
      <c r="B121" s="2023"/>
      <c r="C121" s="2001"/>
      <c r="D121" s="2447"/>
      <c r="E121" s="1427"/>
      <c r="F121" s="2447"/>
      <c r="G121" s="1427"/>
      <c r="H121" s="2447"/>
      <c r="I121" s="1427"/>
      <c r="J121" s="2448"/>
      <c r="K121" s="1985"/>
      <c r="L121" s="1984"/>
      <c r="M121" s="1985"/>
      <c r="N121" s="1984"/>
      <c r="O121" s="1985"/>
      <c r="P121" s="2030"/>
      <c r="Q121" s="1985"/>
      <c r="R121" s="1984"/>
      <c r="S121" s="1985"/>
      <c r="T121" s="1984"/>
      <c r="U121" s="1985"/>
      <c r="V121" s="1984"/>
      <c r="W121" s="1985"/>
      <c r="X121" s="1984"/>
      <c r="Y121" s="1985"/>
      <c r="Z121" s="1984"/>
      <c r="AA121" s="1992"/>
      <c r="AB121" s="2025"/>
      <c r="AC121" s="3099"/>
      <c r="AD121" s="1974"/>
      <c r="AE121" s="1976"/>
      <c r="AF121" s="2030"/>
      <c r="AG121" s="1984"/>
      <c r="AH121" s="2431"/>
      <c r="AI121" s="1427"/>
      <c r="AJ121" s="2432"/>
      <c r="AK121" s="1416"/>
      <c r="AM121" s="2374"/>
      <c r="AO121" s="2374"/>
    </row>
    <row r="122" spans="1:41" ht="15" customHeight="1">
      <c r="A122" s="2406"/>
      <c r="B122" s="2382" t="s">
        <v>45</v>
      </c>
      <c r="C122" s="2001"/>
      <c r="D122" s="1427"/>
      <c r="E122" s="1427"/>
      <c r="F122" s="1427"/>
      <c r="G122" s="1427"/>
      <c r="H122" s="1427"/>
      <c r="I122" s="1427"/>
      <c r="J122" s="1979"/>
      <c r="K122" s="1985"/>
      <c r="L122" s="1985"/>
      <c r="M122" s="1985"/>
      <c r="N122" s="1985"/>
      <c r="O122" s="1985"/>
      <c r="P122" s="1974"/>
      <c r="Q122" s="1985"/>
      <c r="R122" s="1985"/>
      <c r="S122" s="1985"/>
      <c r="T122" s="1985"/>
      <c r="U122" s="1985"/>
      <c r="V122" s="1985"/>
      <c r="W122" s="1985"/>
      <c r="X122" s="1985"/>
      <c r="Y122" s="1985"/>
      <c r="Z122" s="1985"/>
      <c r="AA122" s="1447"/>
      <c r="AB122" s="2025"/>
      <c r="AC122" s="1979"/>
      <c r="AD122" s="1974"/>
      <c r="AE122" s="1976"/>
      <c r="AF122" s="1974"/>
      <c r="AG122" s="1985"/>
      <c r="AH122" s="2431"/>
      <c r="AI122" s="1427"/>
      <c r="AJ122" s="2432"/>
      <c r="AK122" s="1416"/>
      <c r="AM122" s="2374"/>
      <c r="AO122" s="2374"/>
    </row>
    <row r="123" spans="1:41" ht="15" customHeight="1">
      <c r="A123" s="2406"/>
      <c r="B123" s="2382"/>
      <c r="C123" s="2001"/>
      <c r="D123" s="1427"/>
      <c r="E123" s="1427"/>
      <c r="F123" s="1427"/>
      <c r="G123" s="1427"/>
      <c r="H123" s="1427"/>
      <c r="I123" s="1427"/>
      <c r="J123" s="1979"/>
      <c r="K123" s="1985"/>
      <c r="L123" s="1985"/>
      <c r="M123" s="1985"/>
      <c r="N123" s="1985"/>
      <c r="O123" s="1985"/>
      <c r="P123" s="1974"/>
      <c r="Q123" s="1985"/>
      <c r="R123" s="1985"/>
      <c r="S123" s="1985"/>
      <c r="T123" s="1985"/>
      <c r="U123" s="1985"/>
      <c r="V123" s="1985"/>
      <c r="W123" s="1985"/>
      <c r="X123" s="1985"/>
      <c r="Y123" s="1985"/>
      <c r="Z123" s="1985"/>
      <c r="AA123" s="1447"/>
      <c r="AB123" s="2025"/>
      <c r="AC123" s="1979"/>
      <c r="AD123" s="1974"/>
      <c r="AE123" s="1976"/>
      <c r="AF123" s="1974"/>
      <c r="AG123" s="1985"/>
      <c r="AH123" s="2431"/>
      <c r="AI123" s="1427"/>
      <c r="AJ123" s="2432"/>
      <c r="AK123" s="1416"/>
      <c r="AM123" s="2374"/>
      <c r="AO123" s="2374"/>
    </row>
    <row r="124" spans="1:41" ht="15" customHeight="1">
      <c r="A124" s="2406"/>
      <c r="B124" s="2456" t="s">
        <v>902</v>
      </c>
      <c r="C124" s="2163"/>
      <c r="D124" s="3795">
        <v>3262.7</v>
      </c>
      <c r="E124" s="1979"/>
      <c r="F124" s="1768">
        <v>4916.9000000000005</v>
      </c>
      <c r="G124" s="1979"/>
      <c r="H124" s="1768">
        <v>2958.1999999999989</v>
      </c>
      <c r="I124" s="1979"/>
      <c r="J124" s="1768">
        <v>1411.300000000002</v>
      </c>
      <c r="K124" s="1977"/>
      <c r="L124" s="1768">
        <v>1149.8999999999978</v>
      </c>
      <c r="M124" s="1977"/>
      <c r="N124" s="1768">
        <v>3306.7</v>
      </c>
      <c r="O124" s="1977"/>
      <c r="P124" s="1768">
        <v>1688.3999999999978</v>
      </c>
      <c r="Q124" s="1977"/>
      <c r="R124" s="1768">
        <v>1615.4000000000015</v>
      </c>
      <c r="S124" s="1977"/>
      <c r="T124" s="1768">
        <v>8227.4</v>
      </c>
      <c r="U124" s="1977"/>
      <c r="V124" s="1768">
        <f t="shared" ref="V124:V131" si="25">$AC124-$D124-$F124-L124-T124-R124-P124-N124-J124-H124</f>
        <v>201.10000000000036</v>
      </c>
      <c r="W124" s="1977"/>
      <c r="X124" s="1768"/>
      <c r="Y124" s="1977"/>
      <c r="Z124" s="1768"/>
      <c r="AA124" s="1978"/>
      <c r="AB124" s="1981"/>
      <c r="AC124" s="1784">
        <v>28738</v>
      </c>
      <c r="AD124" s="2020"/>
      <c r="AE124" s="1981" t="s">
        <v>14</v>
      </c>
      <c r="AF124" s="1784">
        <v>15595.7</v>
      </c>
      <c r="AG124" s="1974"/>
      <c r="AH124" s="2431"/>
      <c r="AI124" s="1427">
        <f>ROUND(SUM(+AC124-AF124),1)</f>
        <v>13142.3</v>
      </c>
      <c r="AJ124" s="2432"/>
      <c r="AK124" s="1422">
        <f t="shared" ref="AK124:AK128" si="26">ROUND(IF(AF124=0,0,AI124/ABS(AF124)),3)</f>
        <v>0.84299999999999997</v>
      </c>
      <c r="AM124" s="2374"/>
      <c r="AO124" s="2374"/>
    </row>
    <row r="125" spans="1:41" s="2374" customFormat="1" ht="15" customHeight="1">
      <c r="A125" s="2419"/>
      <c r="B125" s="2456" t="s">
        <v>922</v>
      </c>
      <c r="C125" s="2163"/>
      <c r="D125" s="3795">
        <v>870</v>
      </c>
      <c r="E125" s="1979"/>
      <c r="F125" s="1768">
        <v>690.09999999999991</v>
      </c>
      <c r="G125" s="1979"/>
      <c r="H125" s="1768">
        <v>1351.7000000000003</v>
      </c>
      <c r="I125" s="1979"/>
      <c r="J125" s="1768">
        <v>946.29999999999973</v>
      </c>
      <c r="K125" s="1977"/>
      <c r="L125" s="1768">
        <v>912.79999999999973</v>
      </c>
      <c r="M125" s="1977"/>
      <c r="N125" s="1768">
        <v>1203.2000000000003</v>
      </c>
      <c r="O125" s="1977"/>
      <c r="P125" s="1768">
        <v>906.99999999999955</v>
      </c>
      <c r="Q125" s="1977"/>
      <c r="R125" s="1768">
        <v>932.99999999999955</v>
      </c>
      <c r="S125" s="1977"/>
      <c r="T125" s="1768">
        <v>1196.6000000000008</v>
      </c>
      <c r="U125" s="1977"/>
      <c r="V125" s="1768">
        <f t="shared" si="25"/>
        <v>1019.9000000000001</v>
      </c>
      <c r="W125" s="1977"/>
      <c r="X125" s="1768"/>
      <c r="Y125" s="1977"/>
      <c r="Z125" s="1768"/>
      <c r="AA125" s="1978"/>
      <c r="AB125" s="1981"/>
      <c r="AC125" s="1784">
        <v>10030.6</v>
      </c>
      <c r="AD125" s="2020"/>
      <c r="AE125" s="1981" t="s">
        <v>14</v>
      </c>
      <c r="AF125" s="1784">
        <v>4471.2</v>
      </c>
      <c r="AG125" s="1974"/>
      <c r="AH125" s="2457"/>
      <c r="AI125" s="1979">
        <f>ROUND(SUM(+AC125-AF125),1)</f>
        <v>5559.4</v>
      </c>
      <c r="AJ125" s="2020"/>
      <c r="AK125" s="1703">
        <f t="shared" si="26"/>
        <v>1.2430000000000001</v>
      </c>
      <c r="AL125" s="2372"/>
    </row>
    <row r="126" spans="1:41" s="2374" customFormat="1" ht="15" customHeight="1">
      <c r="A126" s="2419"/>
      <c r="B126" s="2456" t="s">
        <v>903</v>
      </c>
      <c r="C126" s="2163"/>
      <c r="D126" s="3795">
        <v>86.8</v>
      </c>
      <c r="E126" s="1979"/>
      <c r="F126" s="1768">
        <v>110.00000000000001</v>
      </c>
      <c r="G126" s="1979"/>
      <c r="H126" s="1768">
        <v>115.09999999999995</v>
      </c>
      <c r="I126" s="1979"/>
      <c r="J126" s="1768">
        <v>128.70000000000005</v>
      </c>
      <c r="K126" s="1977"/>
      <c r="L126" s="1768">
        <v>136.60000000000002</v>
      </c>
      <c r="M126" s="1977"/>
      <c r="N126" s="1768">
        <v>129.80000000000001</v>
      </c>
      <c r="O126" s="1977"/>
      <c r="P126" s="1768">
        <v>128.60000000000002</v>
      </c>
      <c r="Q126" s="1977"/>
      <c r="R126" s="1768">
        <v>115.89999999999999</v>
      </c>
      <c r="S126" s="1977"/>
      <c r="T126" s="1768">
        <v>131.40000000000009</v>
      </c>
      <c r="U126" s="1977"/>
      <c r="V126" s="1768">
        <f t="shared" si="25"/>
        <v>163.69999999999982</v>
      </c>
      <c r="W126" s="1977"/>
      <c r="X126" s="1768"/>
      <c r="Y126" s="1977"/>
      <c r="Z126" s="1768"/>
      <c r="AA126" s="1978"/>
      <c r="AB126" s="1981"/>
      <c r="AC126" s="1784">
        <v>1246.5999999999999</v>
      </c>
      <c r="AD126" s="2020"/>
      <c r="AE126" s="1981" t="s">
        <v>14</v>
      </c>
      <c r="AF126" s="1784">
        <v>633.20000000000005</v>
      </c>
      <c r="AG126" s="1974"/>
      <c r="AH126" s="2457"/>
      <c r="AI126" s="1979">
        <f>ROUND(SUM(+AC126-AF126),1)</f>
        <v>613.4</v>
      </c>
      <c r="AJ126" s="2020"/>
      <c r="AK126" s="1703">
        <f t="shared" si="26"/>
        <v>0.96899999999999997</v>
      </c>
      <c r="AL126" s="2372"/>
    </row>
    <row r="127" spans="1:41" s="2374" customFormat="1" ht="15" customHeight="1">
      <c r="A127" s="2419"/>
      <c r="B127" s="2458" t="s">
        <v>158</v>
      </c>
      <c r="C127" s="2163"/>
      <c r="D127" s="3795">
        <v>108.00000000000018</v>
      </c>
      <c r="E127" s="1979"/>
      <c r="F127" s="1768">
        <v>94.799999999998803</v>
      </c>
      <c r="G127" s="1979"/>
      <c r="H127" s="1768">
        <v>173.10000000000122</v>
      </c>
      <c r="I127" s="1979"/>
      <c r="J127" s="1768">
        <v>187.70000000000095</v>
      </c>
      <c r="K127" s="1977"/>
      <c r="L127" s="1768">
        <v>115.2999999999991</v>
      </c>
      <c r="M127" s="1977"/>
      <c r="N127" s="1768">
        <v>433.69999999999783</v>
      </c>
      <c r="O127" s="1977"/>
      <c r="P127" s="1768">
        <v>113.20000000000164</v>
      </c>
      <c r="Q127" s="1977"/>
      <c r="R127" s="1768">
        <v>115.19999999999845</v>
      </c>
      <c r="S127" s="1977"/>
      <c r="T127" s="1768">
        <v>214.49999999999949</v>
      </c>
      <c r="U127" s="1977"/>
      <c r="V127" s="1768">
        <f t="shared" si="25"/>
        <v>134.70000000000346</v>
      </c>
      <c r="W127" s="1977"/>
      <c r="X127" s="1768"/>
      <c r="Y127" s="1977"/>
      <c r="Z127" s="1768"/>
      <c r="AA127" s="1978"/>
      <c r="AB127" s="1981"/>
      <c r="AC127" s="1784">
        <v>1690.2000000000012</v>
      </c>
      <c r="AD127" s="2020"/>
      <c r="AE127" s="1981" t="s">
        <v>14</v>
      </c>
      <c r="AF127" s="1784">
        <v>1366.5000000000002</v>
      </c>
      <c r="AG127" s="1974"/>
      <c r="AH127" s="2457"/>
      <c r="AI127" s="1979">
        <f>ROUND(SUM(+AC127-AF127),1)</f>
        <v>323.7</v>
      </c>
      <c r="AJ127" s="2020"/>
      <c r="AK127" s="1708">
        <f t="shared" si="26"/>
        <v>0.23699999999999999</v>
      </c>
      <c r="AL127" s="2372"/>
    </row>
    <row r="128" spans="1:41" ht="15" customHeight="1">
      <c r="A128" s="2406" t="s">
        <v>14</v>
      </c>
      <c r="B128" s="2023" t="s">
        <v>159</v>
      </c>
      <c r="C128" s="2001"/>
      <c r="D128" s="3795">
        <v>-485.70000000000005</v>
      </c>
      <c r="E128" s="1427"/>
      <c r="F128" s="1768">
        <v>-341.4</v>
      </c>
      <c r="G128" s="1427"/>
      <c r="H128" s="1768">
        <v>-715.6</v>
      </c>
      <c r="I128" s="1427"/>
      <c r="J128" s="1768">
        <v>-296.29999999999995</v>
      </c>
      <c r="K128" s="1977"/>
      <c r="L128" s="1768">
        <v>-573.00000000000011</v>
      </c>
      <c r="M128" s="1977"/>
      <c r="N128" s="1768">
        <v>-414.19999999999993</v>
      </c>
      <c r="O128" s="1977"/>
      <c r="P128" s="1768">
        <v>-240.69999999999993</v>
      </c>
      <c r="Q128" s="1977"/>
      <c r="R128" s="1768">
        <v>-591.50000000000011</v>
      </c>
      <c r="S128" s="1977"/>
      <c r="T128" s="1768">
        <v>-455.20000000000107</v>
      </c>
      <c r="U128" s="1977"/>
      <c r="V128" s="1768">
        <f t="shared" si="25"/>
        <v>-291.69999999999948</v>
      </c>
      <c r="W128" s="1977"/>
      <c r="X128" s="1768"/>
      <c r="Y128" s="1977"/>
      <c r="Z128" s="1768"/>
      <c r="AA128" s="1978"/>
      <c r="AB128" s="1981"/>
      <c r="AC128" s="1784">
        <v>-4405.3</v>
      </c>
      <c r="AD128" s="2020"/>
      <c r="AE128" s="1981" t="s">
        <v>14</v>
      </c>
      <c r="AF128" s="1784">
        <v>-2232.6999999999998</v>
      </c>
      <c r="AG128" s="1985"/>
      <c r="AH128" s="2431"/>
      <c r="AI128" s="1427">
        <f>ROUND(SUM(+AC128-AF128)*-1,1)</f>
        <v>2172.6</v>
      </c>
      <c r="AJ128" s="2432"/>
      <c r="AK128" s="1463">
        <f t="shared" si="26"/>
        <v>0.97299999999999998</v>
      </c>
      <c r="AM128" s="2374"/>
      <c r="AO128" s="2374"/>
    </row>
    <row r="129" spans="1:41" s="2374" customFormat="1" ht="15" customHeight="1">
      <c r="A129" s="2419"/>
      <c r="B129" s="2459" t="s">
        <v>1133</v>
      </c>
      <c r="C129" s="2163"/>
      <c r="D129" s="3795">
        <v>0</v>
      </c>
      <c r="E129" s="1979"/>
      <c r="F129" s="1768">
        <v>0</v>
      </c>
      <c r="G129" s="1979"/>
      <c r="H129" s="1768">
        <v>-100.5</v>
      </c>
      <c r="I129" s="1979"/>
      <c r="J129" s="1768">
        <v>0</v>
      </c>
      <c r="K129" s="1977"/>
      <c r="L129" s="1768">
        <v>0</v>
      </c>
      <c r="M129" s="1977"/>
      <c r="N129" s="1768">
        <v>-16.5</v>
      </c>
      <c r="O129" s="1977"/>
      <c r="P129" s="1768">
        <v>-65</v>
      </c>
      <c r="Q129" s="1977"/>
      <c r="R129" s="1768">
        <v>-14</v>
      </c>
      <c r="S129" s="1977"/>
      <c r="T129" s="1768">
        <v>-16.5</v>
      </c>
      <c r="U129" s="1977"/>
      <c r="V129" s="1768">
        <f t="shared" si="25"/>
        <v>-50</v>
      </c>
      <c r="W129" s="1977"/>
      <c r="X129" s="1768"/>
      <c r="Y129" s="1977"/>
      <c r="Z129" s="1768"/>
      <c r="AA129" s="1978"/>
      <c r="AB129" s="1981"/>
      <c r="AC129" s="1784">
        <v>-262.5</v>
      </c>
      <c r="AD129" s="2020"/>
      <c r="AE129" s="1981" t="s">
        <v>14</v>
      </c>
      <c r="AF129" s="1784">
        <v>-432.3</v>
      </c>
      <c r="AG129" s="1974"/>
      <c r="AH129" s="2457"/>
      <c r="AI129" s="1979">
        <f>ROUND(SUM(+AC129-AF129)*-1,1)</f>
        <v>-169.8</v>
      </c>
      <c r="AJ129" s="2020"/>
      <c r="AK129" s="1422">
        <f>ROUND(IF(AF129=0,0,AI129/ABS(AF129)),3)</f>
        <v>-0.39300000000000002</v>
      </c>
      <c r="AL129" s="2372"/>
    </row>
    <row r="130" spans="1:41" s="2374" customFormat="1" ht="15" customHeight="1">
      <c r="A130" s="2419"/>
      <c r="B130" s="2420" t="s">
        <v>160</v>
      </c>
      <c r="C130" s="2163"/>
      <c r="D130" s="3795">
        <v>-162.6</v>
      </c>
      <c r="E130" s="1427"/>
      <c r="F130" s="1768">
        <v>21.299999999999983</v>
      </c>
      <c r="G130" s="1427"/>
      <c r="H130" s="1768">
        <v>21.200000000000003</v>
      </c>
      <c r="I130" s="1427"/>
      <c r="J130" s="1768">
        <v>-55.699999999999974</v>
      </c>
      <c r="K130" s="1977"/>
      <c r="L130" s="1768">
        <v>7.6999999999999886</v>
      </c>
      <c r="M130" s="1977"/>
      <c r="N130" s="1768">
        <v>-11.800000000000011</v>
      </c>
      <c r="O130" s="1977"/>
      <c r="P130" s="1768">
        <v>-52.5</v>
      </c>
      <c r="Q130" s="1977"/>
      <c r="R130" s="1768">
        <v>5.0999999999999943</v>
      </c>
      <c r="S130" s="1977"/>
      <c r="T130" s="1768">
        <v>24.5</v>
      </c>
      <c r="U130" s="1977"/>
      <c r="V130" s="1768">
        <f t="shared" si="25"/>
        <v>-162.80000000000001</v>
      </c>
      <c r="W130" s="1977"/>
      <c r="X130" s="1768"/>
      <c r="Y130" s="1977"/>
      <c r="Z130" s="1768"/>
      <c r="AA130" s="1978"/>
      <c r="AB130" s="1981"/>
      <c r="AC130" s="1784">
        <v>-365.6</v>
      </c>
      <c r="AD130" s="2020"/>
      <c r="AE130" s="1981" t="s">
        <v>14</v>
      </c>
      <c r="AF130" s="1784">
        <v>-339.2</v>
      </c>
      <c r="AG130" s="1974"/>
      <c r="AH130" s="2457"/>
      <c r="AI130" s="1979">
        <f>ROUND(SUM(+AC130-AF130)*-1,1)</f>
        <v>26.4</v>
      </c>
      <c r="AJ130" s="2020"/>
      <c r="AK130" s="1703">
        <f>ROUND(IF(AF130=0,0,AI130/ABS(AF130)),3)</f>
        <v>7.8E-2</v>
      </c>
      <c r="AL130" s="2372"/>
    </row>
    <row r="131" spans="1:41" s="2374" customFormat="1" ht="15" customHeight="1">
      <c r="A131" s="2419"/>
      <c r="B131" s="2420" t="s">
        <v>161</v>
      </c>
      <c r="C131" s="2163"/>
      <c r="D131" s="3795">
        <v>-227.79999999999995</v>
      </c>
      <c r="E131" s="1979"/>
      <c r="F131" s="1768">
        <v>-34.099999999999909</v>
      </c>
      <c r="G131" s="1979"/>
      <c r="H131" s="1768">
        <v>-917.20000000000027</v>
      </c>
      <c r="I131" s="1979"/>
      <c r="J131" s="1768">
        <v>-369.49999999999977</v>
      </c>
      <c r="K131" s="1977"/>
      <c r="L131" s="1768">
        <v>-106.00000000000045</v>
      </c>
      <c r="M131" s="1977"/>
      <c r="N131" s="1768">
        <v>-163.90000000000009</v>
      </c>
      <c r="O131" s="1977"/>
      <c r="P131" s="1768">
        <v>-90.999999999999545</v>
      </c>
      <c r="Q131" s="1977"/>
      <c r="R131" s="1768">
        <v>-171.49999999999955</v>
      </c>
      <c r="S131" s="1977"/>
      <c r="T131" s="1768">
        <v>-115.90000000000009</v>
      </c>
      <c r="U131" s="1977"/>
      <c r="V131" s="1768">
        <f t="shared" si="25"/>
        <v>-26.599999999999454</v>
      </c>
      <c r="W131" s="1977"/>
      <c r="X131" s="1768"/>
      <c r="Y131" s="1977"/>
      <c r="Z131" s="1768"/>
      <c r="AA131" s="1978"/>
      <c r="AB131" s="1981"/>
      <c r="AC131" s="1784">
        <v>-2223.4999999999991</v>
      </c>
      <c r="AD131" s="2020"/>
      <c r="AE131" s="1981" t="s">
        <v>14</v>
      </c>
      <c r="AF131" s="1784">
        <v>-1888.3</v>
      </c>
      <c r="AG131" s="1956"/>
      <c r="AH131" s="2457"/>
      <c r="AI131" s="2460">
        <f>ROUND(SUM(+AC131-AF131)*-1,1)</f>
        <v>335.2</v>
      </c>
      <c r="AJ131" s="2020"/>
      <c r="AK131" s="1791">
        <f>ROUND(IF(AF131=0,0,AI131/ABS(AF131)),3)</f>
        <v>0.17799999999999999</v>
      </c>
      <c r="AL131" s="2372"/>
    </row>
    <row r="132" spans="1:41" ht="5.0999999999999996" customHeight="1">
      <c r="A132" s="2406"/>
      <c r="B132" s="2420"/>
      <c r="C132" s="2163"/>
      <c r="D132" s="2030"/>
      <c r="E132" s="1974"/>
      <c r="F132" s="2030"/>
      <c r="G132" s="1974"/>
      <c r="H132" s="2030" t="s">
        <v>14</v>
      </c>
      <c r="I132" s="1974"/>
      <c r="J132" s="2030"/>
      <c r="K132" s="1974"/>
      <c r="L132" s="2030"/>
      <c r="M132" s="1974"/>
      <c r="N132" s="2030"/>
      <c r="O132" s="1974"/>
      <c r="P132" s="2030"/>
      <c r="Q132" s="1974"/>
      <c r="R132" s="2030"/>
      <c r="S132" s="1974"/>
      <c r="T132" s="2030"/>
      <c r="U132" s="1974"/>
      <c r="V132" s="2030"/>
      <c r="W132" s="1974"/>
      <c r="X132" s="2030"/>
      <c r="Y132" s="1974"/>
      <c r="Z132" s="2030"/>
      <c r="AA132" s="1997"/>
      <c r="AB132" s="2026"/>
      <c r="AC132" s="3099"/>
      <c r="AD132" s="1974"/>
      <c r="AE132" s="1976"/>
      <c r="AF132" s="2030"/>
      <c r="AG132" s="1956"/>
      <c r="AH132" s="2431"/>
      <c r="AI132" s="1427"/>
      <c r="AJ132" s="2432"/>
      <c r="AK132" s="1416"/>
      <c r="AM132" s="2374"/>
      <c r="AO132" s="2374"/>
    </row>
    <row r="133" spans="1:41" ht="15" customHeight="1">
      <c r="A133" s="2406"/>
      <c r="B133" s="2382" t="s">
        <v>162</v>
      </c>
      <c r="C133" s="2001"/>
      <c r="D133" s="1985"/>
      <c r="E133" s="1985"/>
      <c r="F133" s="1985"/>
      <c r="G133" s="1985"/>
      <c r="H133" s="1985"/>
      <c r="I133" s="1985"/>
      <c r="J133" s="1974"/>
      <c r="K133" s="1985"/>
      <c r="L133" s="1985"/>
      <c r="M133" s="1985"/>
      <c r="N133" s="1985"/>
      <c r="O133" s="1985"/>
      <c r="P133" s="1974"/>
      <c r="Q133" s="1985"/>
      <c r="R133" s="1985"/>
      <c r="S133" s="1985"/>
      <c r="T133" s="1985"/>
      <c r="U133" s="1985"/>
      <c r="V133" s="1985"/>
      <c r="W133" s="1985"/>
      <c r="X133" s="1985"/>
      <c r="Y133" s="1447"/>
      <c r="Z133" s="1447"/>
      <c r="AA133" s="1447"/>
      <c r="AB133" s="2025"/>
      <c r="AC133" s="1979"/>
      <c r="AD133" s="1974"/>
      <c r="AE133" s="1976"/>
      <c r="AF133" s="1974"/>
      <c r="AG133" s="1985"/>
      <c r="AH133" s="2431"/>
      <c r="AI133" s="1427"/>
      <c r="AJ133" s="2432"/>
      <c r="AK133" s="1416"/>
      <c r="AM133" s="2374"/>
      <c r="AO133" s="2374"/>
    </row>
    <row r="134" spans="1:41" ht="15" customHeight="1">
      <c r="A134" s="2406"/>
      <c r="B134" s="2382" t="s">
        <v>163</v>
      </c>
      <c r="C134" s="2001"/>
      <c r="D134" s="1445">
        <f>ROUND(SUM(D124:D132),1)</f>
        <v>3451.4</v>
      </c>
      <c r="E134" s="1445"/>
      <c r="F134" s="1445">
        <f>ROUND(SUM(F124:F132),1)</f>
        <v>5457.6</v>
      </c>
      <c r="G134" s="1445"/>
      <c r="H134" s="1445">
        <f>ROUND(SUM(H124:H132),1)</f>
        <v>2886</v>
      </c>
      <c r="I134" s="1445"/>
      <c r="J134" s="2029">
        <f>ROUND(SUM(J124:J131),1)</f>
        <v>1952.5</v>
      </c>
      <c r="K134" s="1445"/>
      <c r="L134" s="1445">
        <f>ROUND(SUM(L124:L131),1)</f>
        <v>1643.3</v>
      </c>
      <c r="M134" s="1445"/>
      <c r="N134" s="1445">
        <f>ROUND(SUM(N124:N131),1)</f>
        <v>4467</v>
      </c>
      <c r="O134" s="1445"/>
      <c r="P134" s="2029">
        <f>ROUND(SUM(P124:P131),1)</f>
        <v>2388</v>
      </c>
      <c r="Q134" s="1445"/>
      <c r="R134" s="1445">
        <f>ROUND(SUM(R124:R131),1)</f>
        <v>2007.6</v>
      </c>
      <c r="S134" s="1445"/>
      <c r="T134" s="1445">
        <f>ROUND(SUM(T124:T131),1)</f>
        <v>9206.7999999999993</v>
      </c>
      <c r="U134" s="1445"/>
      <c r="V134" s="1445">
        <f>ROUND(SUM(V124:V131),1)</f>
        <v>988.3</v>
      </c>
      <c r="W134" s="1445"/>
      <c r="X134" s="1445">
        <f>ROUND(SUM(X124:X131),1)</f>
        <v>0</v>
      </c>
      <c r="Y134" s="1989"/>
      <c r="Z134" s="1445">
        <f>ROUND(SUM(Z124:Z131),1)</f>
        <v>0</v>
      </c>
      <c r="AA134" s="2032"/>
      <c r="AB134" s="2028"/>
      <c r="AC134" s="2029">
        <f>ROUND(SUM(AC124:AC131),1)</f>
        <v>34448.5</v>
      </c>
      <c r="AD134" s="2029"/>
      <c r="AE134" s="3098"/>
      <c r="AF134" s="2029">
        <f>ROUND(SUM(AF124:AF131),1)</f>
        <v>17174.099999999999</v>
      </c>
      <c r="AG134" s="1428"/>
      <c r="AH134" s="2435"/>
      <c r="AI134" s="2031">
        <f>ROUND(SUM(+AC134-AF134),1)</f>
        <v>17274.400000000001</v>
      </c>
      <c r="AJ134" s="1428"/>
      <c r="AK134" s="2461">
        <f>ROUND(SUM(+AI134/AF134),3)</f>
        <v>1.006</v>
      </c>
      <c r="AM134" s="2374"/>
      <c r="AO134" s="2374"/>
    </row>
    <row r="135" spans="1:41" ht="15" customHeight="1">
      <c r="A135" s="2406"/>
      <c r="B135" s="2023"/>
      <c r="C135" s="2001"/>
      <c r="D135" s="1984"/>
      <c r="E135" s="1985"/>
      <c r="F135" s="1984"/>
      <c r="G135" s="1985"/>
      <c r="H135" s="1984"/>
      <c r="I135" s="1985"/>
      <c r="J135" s="2030"/>
      <c r="K135" s="1985"/>
      <c r="L135" s="1984"/>
      <c r="M135" s="1985"/>
      <c r="N135" s="1984"/>
      <c r="O135" s="1985"/>
      <c r="P135" s="2030"/>
      <c r="Q135" s="1985"/>
      <c r="R135" s="1984"/>
      <c r="S135" s="1985"/>
      <c r="T135" s="1984"/>
      <c r="U135" s="1985"/>
      <c r="V135" s="1984"/>
      <c r="W135" s="1985"/>
      <c r="X135" s="1984"/>
      <c r="Y135" s="1447"/>
      <c r="Z135" s="1451"/>
      <c r="AA135" s="1992"/>
      <c r="AB135" s="2025"/>
      <c r="AC135" s="3099"/>
      <c r="AD135" s="1974"/>
      <c r="AE135" s="1976"/>
      <c r="AF135" s="2030"/>
      <c r="AG135" s="1986"/>
      <c r="AH135" s="2431"/>
      <c r="AI135" s="2462"/>
      <c r="AJ135" s="2463"/>
      <c r="AK135" s="1433"/>
      <c r="AM135" s="2374"/>
      <c r="AO135" s="2374"/>
    </row>
    <row r="136" spans="1:41" ht="15" customHeight="1">
      <c r="A136" s="2406"/>
      <c r="B136" s="2382" t="s">
        <v>164</v>
      </c>
      <c r="C136" s="2001"/>
      <c r="D136" s="1985"/>
      <c r="E136" s="1985"/>
      <c r="F136" s="1985"/>
      <c r="G136" s="1985"/>
      <c r="H136" s="1985"/>
      <c r="I136" s="1985"/>
      <c r="J136" s="1974"/>
      <c r="K136" s="1985"/>
      <c r="L136" s="1985"/>
      <c r="M136" s="1985"/>
      <c r="N136" s="1985"/>
      <c r="O136" s="1985"/>
      <c r="P136" s="1974"/>
      <c r="Q136" s="1985"/>
      <c r="R136" s="1985"/>
      <c r="S136" s="1985"/>
      <c r="T136" s="1985"/>
      <c r="U136" s="1985"/>
      <c r="V136" s="1985"/>
      <c r="W136" s="1985"/>
      <c r="X136" s="1985"/>
      <c r="Y136" s="1447"/>
      <c r="Z136" s="1447"/>
      <c r="AA136" s="1447"/>
      <c r="AB136" s="2025"/>
      <c r="AC136" s="1979"/>
      <c r="AD136" s="1974"/>
      <c r="AE136" s="1976"/>
      <c r="AF136" s="1974"/>
      <c r="AG136" s="1985"/>
      <c r="AH136" s="2431"/>
      <c r="AI136" s="2462"/>
      <c r="AJ136" s="2463"/>
      <c r="AK136" s="1433"/>
      <c r="AL136" s="2372" t="s">
        <v>14</v>
      </c>
      <c r="AM136" s="2374"/>
      <c r="AO136" s="2374"/>
    </row>
    <row r="137" spans="1:41" ht="15" customHeight="1">
      <c r="A137" s="2406"/>
      <c r="B137" s="2382" t="s">
        <v>165</v>
      </c>
      <c r="C137" s="2001"/>
      <c r="D137" s="1985"/>
      <c r="E137" s="1985"/>
      <c r="F137" s="1985"/>
      <c r="G137" s="1985"/>
      <c r="H137" s="1985"/>
      <c r="I137" s="1985"/>
      <c r="J137" s="1974"/>
      <c r="K137" s="1985"/>
      <c r="L137" s="1985"/>
      <c r="M137" s="1985"/>
      <c r="N137" s="1985"/>
      <c r="O137" s="1985"/>
      <c r="P137" s="1974"/>
      <c r="Q137" s="1985"/>
      <c r="R137" s="1985"/>
      <c r="S137" s="1985"/>
      <c r="T137" s="1985"/>
      <c r="U137" s="1985"/>
      <c r="V137" s="1985"/>
      <c r="W137" s="1985"/>
      <c r="X137" s="1985"/>
      <c r="Y137" s="1447"/>
      <c r="Z137" s="1447"/>
      <c r="AA137" s="1447"/>
      <c r="AB137" s="2025"/>
      <c r="AC137" s="1979"/>
      <c r="AD137" s="1974"/>
      <c r="AE137" s="1976"/>
      <c r="AF137" s="1974"/>
      <c r="AG137" s="1985"/>
      <c r="AH137" s="2431"/>
      <c r="AI137" s="2462"/>
      <c r="AJ137" s="2463"/>
      <c r="AK137" s="1433"/>
      <c r="AM137" s="2374"/>
      <c r="AO137" s="2374"/>
    </row>
    <row r="138" spans="1:41" ht="15" customHeight="1">
      <c r="A138" s="2406"/>
      <c r="B138" s="2382" t="s">
        <v>166</v>
      </c>
      <c r="C138" s="2001"/>
      <c r="D138" s="1445">
        <f>ROUND(SUM(D120+D134),1)</f>
        <v>3056.8</v>
      </c>
      <c r="E138" s="1445"/>
      <c r="F138" s="1445">
        <f>ROUND(SUM(F120+F134),1)</f>
        <v>2138.9</v>
      </c>
      <c r="G138" s="1445"/>
      <c r="H138" s="1445">
        <f>ROUND(SUM(H120+H134),1)</f>
        <v>1107.9000000000001</v>
      </c>
      <c r="I138" s="1445"/>
      <c r="J138" s="2029">
        <f>ROUND(SUM(J120+J134),1)</f>
        <v>136.69999999999999</v>
      </c>
      <c r="K138" s="1445"/>
      <c r="L138" s="1445">
        <f>ROUND(SUM(L120+L134),1)</f>
        <v>188.2</v>
      </c>
      <c r="M138" s="1445"/>
      <c r="N138" s="1445">
        <f>ROUND(SUM(N120+N134),1)</f>
        <v>4164.3999999999996</v>
      </c>
      <c r="O138" s="1445"/>
      <c r="P138" s="2029">
        <f>ROUND(SUM(P120+P134),1)</f>
        <v>-1834.9</v>
      </c>
      <c r="Q138" s="1445"/>
      <c r="R138" s="1445">
        <f>ROUND(SUM(R120+R134),1)</f>
        <v>-934</v>
      </c>
      <c r="S138" s="1985"/>
      <c r="T138" s="1445">
        <f>ROUND(SUM(T120+T134),1)</f>
        <v>13474.9</v>
      </c>
      <c r="U138" s="1985"/>
      <c r="V138" s="1445">
        <f>ROUND(SUM(V120+V134),1)</f>
        <v>1347.8</v>
      </c>
      <c r="W138" s="1985"/>
      <c r="X138" s="1445">
        <f>ROUND(SUM(X120+X134),1)</f>
        <v>0</v>
      </c>
      <c r="Y138" s="1447"/>
      <c r="Z138" s="2031">
        <f>ROUND(SUM(Z120+Z134),1)</f>
        <v>0</v>
      </c>
      <c r="AA138" s="1992"/>
      <c r="AB138" s="2025"/>
      <c r="AC138" s="2029">
        <f>ROUND(SUM(AC120+AC134),1)</f>
        <v>22846.7</v>
      </c>
      <c r="AD138" s="2029"/>
      <c r="AE138" s="3098"/>
      <c r="AF138" s="2029">
        <f>ROUND(SUM(AF120+AF134),1)</f>
        <v>10388.5</v>
      </c>
      <c r="AG138" s="1428"/>
      <c r="AH138" s="2435"/>
      <c r="AI138" s="2031">
        <f>ROUND(SUM(+AC138-AF138),1)</f>
        <v>12458.2</v>
      </c>
      <c r="AJ138" s="2464"/>
      <c r="AK138" s="2465">
        <f>ROUND(SUM(AI138/ABS(AF138)),3)</f>
        <v>1.1990000000000001</v>
      </c>
      <c r="AM138" s="2374"/>
      <c r="AO138" s="2374"/>
    </row>
    <row r="139" spans="1:41" ht="9" customHeight="1">
      <c r="A139" s="2406"/>
      <c r="B139" s="2023"/>
      <c r="C139" s="2001"/>
      <c r="D139" s="1451"/>
      <c r="E139" s="2023"/>
      <c r="F139" s="2404"/>
      <c r="G139" s="2023"/>
      <c r="H139" s="2403"/>
      <c r="I139" s="2023"/>
      <c r="J139" s="2030"/>
      <c r="K139" s="2023"/>
      <c r="L139" s="2403"/>
      <c r="M139" s="2023"/>
      <c r="N139" s="2403"/>
      <c r="O139" s="2023"/>
      <c r="P139" s="2996"/>
      <c r="Q139" s="2023"/>
      <c r="R139" s="2403"/>
      <c r="S139" s="2023"/>
      <c r="T139" s="2403"/>
      <c r="U139" s="2023"/>
      <c r="V139" s="2403"/>
      <c r="W139" s="2023"/>
      <c r="X139" s="2403"/>
      <c r="Y139" s="2023"/>
      <c r="Z139" s="2000"/>
      <c r="AA139" s="2000"/>
      <c r="AB139" s="2025"/>
      <c r="AC139" s="3099"/>
      <c r="AD139" s="1974"/>
      <c r="AE139" s="1976"/>
      <c r="AF139" s="2030"/>
      <c r="AG139" s="1986"/>
      <c r="AH139" s="2431"/>
      <c r="AI139" s="2447"/>
      <c r="AJ139" s="2463"/>
      <c r="AK139" s="2466"/>
      <c r="AM139" s="2374"/>
      <c r="AO139" s="2374"/>
    </row>
    <row r="140" spans="1:41" ht="15" customHeight="1" thickBot="1">
      <c r="A140" s="2406"/>
      <c r="B140" s="2417" t="s">
        <v>140</v>
      </c>
      <c r="C140" s="2163"/>
      <c r="D140" s="2467">
        <f>ROUND(SUM(D12+D138),1)</f>
        <v>12217.6</v>
      </c>
      <c r="E140" s="2468"/>
      <c r="F140" s="2467">
        <f>ROUND(SUM(F12+F138),1)</f>
        <v>14356.5</v>
      </c>
      <c r="G140" s="2412"/>
      <c r="H140" s="2467">
        <f>ROUND(SUM(H12+H138),1)</f>
        <v>15464.4</v>
      </c>
      <c r="I140" s="2412"/>
      <c r="J140" s="2467">
        <f>ROUND(SUM(J12+J138),1)</f>
        <v>15601.1</v>
      </c>
      <c r="K140" s="2412"/>
      <c r="L140" s="2467">
        <f>ROUND(SUM(L12+L138),1)</f>
        <v>15789.3</v>
      </c>
      <c r="M140" s="2412"/>
      <c r="N140" s="2467">
        <f>ROUND(SUM(N12+N138),1)</f>
        <v>19953.7</v>
      </c>
      <c r="O140" s="2412"/>
      <c r="P140" s="2467">
        <f>ROUND(SUM(P12+P138),1)</f>
        <v>18118.8</v>
      </c>
      <c r="Q140" s="2412"/>
      <c r="R140" s="2467">
        <f>ROUND(SUM(R12+R138),1)</f>
        <v>17184.8</v>
      </c>
      <c r="S140" s="2412"/>
      <c r="T140" s="2467">
        <f>ROUND(SUM(T12+T138),1)</f>
        <v>30659.7</v>
      </c>
      <c r="U140" s="2412"/>
      <c r="V140" s="2467">
        <f>ROUND(SUM(V12+V138),1)</f>
        <v>32007.5</v>
      </c>
      <c r="W140" s="2412"/>
      <c r="X140" s="2467">
        <f>ROUND(SUM(X12+X138),1)</f>
        <v>0</v>
      </c>
      <c r="Y140" s="2412"/>
      <c r="Z140" s="2467">
        <f>ROUND(SUM(Z12+Z138),1)</f>
        <v>0</v>
      </c>
      <c r="AA140" s="2468"/>
      <c r="AB140" s="2469"/>
      <c r="AC140" s="2167">
        <f>ROUND(SUM(AC12+AC138),1)</f>
        <v>32007.5</v>
      </c>
      <c r="AD140" s="2029"/>
      <c r="AE140" s="3098"/>
      <c r="AF140" s="2467">
        <f>ROUND(SUM(AF12+AF138),1)</f>
        <v>19332.7</v>
      </c>
      <c r="AG140" s="2470"/>
      <c r="AH140" s="2413"/>
      <c r="AI140" s="2471">
        <f>ROUND(SUM(+AC140-AF140),1)</f>
        <v>12674.8</v>
      </c>
      <c r="AJ140" s="2464"/>
      <c r="AK140" s="2472">
        <f>ROUND(SUM(+AI140/AF140),3)</f>
        <v>0.65600000000000003</v>
      </c>
      <c r="AM140" s="2374"/>
      <c r="AO140" s="2374"/>
    </row>
    <row r="141" spans="1:41" ht="15" customHeight="1" thickTop="1">
      <c r="A141" s="2406"/>
      <c r="B141" s="2023"/>
      <c r="C141" s="2001"/>
      <c r="D141" s="2000"/>
      <c r="E141" s="2473"/>
      <c r="F141" s="2474"/>
      <c r="G141" s="2473"/>
      <c r="H141" s="2000"/>
      <c r="I141" s="2473"/>
      <c r="J141" s="1956"/>
      <c r="K141" s="2473"/>
      <c r="L141" s="2000"/>
      <c r="M141" s="2473"/>
      <c r="N141" s="2000"/>
      <c r="O141" s="2473"/>
      <c r="P141" s="2162"/>
      <c r="Q141" s="2473"/>
      <c r="R141" s="2000"/>
      <c r="S141" s="2473"/>
      <c r="T141" s="2000"/>
      <c r="U141" s="2473"/>
      <c r="V141" s="2000"/>
      <c r="W141" s="2473"/>
      <c r="X141" s="2000"/>
      <c r="Y141" s="2473"/>
      <c r="Z141" s="2000"/>
      <c r="AA141" s="2000"/>
      <c r="AB141" s="2473"/>
      <c r="AC141" s="1956"/>
      <c r="AD141" s="1956"/>
      <c r="AE141" s="1956"/>
      <c r="AF141" s="1956"/>
      <c r="AG141" s="1986"/>
      <c r="AH141" s="2475"/>
      <c r="AI141" s="2462"/>
      <c r="AJ141" s="2463"/>
      <c r="AK141" s="1433"/>
      <c r="AO141" s="2374"/>
    </row>
    <row r="142" spans="1:41" ht="15" customHeight="1">
      <c r="A142" s="2406"/>
      <c r="B142" s="2023" t="s">
        <v>14</v>
      </c>
      <c r="C142" s="2001"/>
      <c r="D142" s="2000"/>
      <c r="E142" s="2023"/>
      <c r="F142" s="2474"/>
      <c r="G142" s="2023"/>
      <c r="H142" s="2000"/>
      <c r="I142" s="2023"/>
      <c r="J142" s="1956"/>
      <c r="K142" s="2023"/>
      <c r="L142" s="2000"/>
      <c r="M142" s="2023"/>
      <c r="N142" s="2000"/>
      <c r="O142" s="2023"/>
      <c r="P142" s="2162"/>
      <c r="Q142" s="2023"/>
      <c r="R142" s="2000"/>
      <c r="S142" s="2023"/>
      <c r="T142" s="2000"/>
      <c r="U142" s="2023"/>
      <c r="V142" s="2000"/>
      <c r="W142" s="2023"/>
      <c r="X142" s="2000"/>
      <c r="Y142" s="2023"/>
      <c r="Z142" s="2000"/>
      <c r="AA142" s="2000"/>
      <c r="AB142" s="2023"/>
      <c r="AC142" s="1784" t="s">
        <v>14</v>
      </c>
      <c r="AD142" s="1974"/>
      <c r="AE142" s="1979" t="s">
        <v>1529</v>
      </c>
      <c r="AF142" s="2020" t="s">
        <v>14</v>
      </c>
      <c r="AG142" s="1986"/>
      <c r="AH142" s="2476"/>
      <c r="AI142" s="2462"/>
      <c r="AJ142" s="2463"/>
      <c r="AK142" s="1433"/>
    </row>
    <row r="143" spans="1:41" ht="15" customHeight="1">
      <c r="A143" s="2406"/>
      <c r="B143" s="2023"/>
      <c r="C143" s="2001"/>
      <c r="D143" s="2000"/>
      <c r="E143" s="2023"/>
      <c r="F143" s="2474"/>
      <c r="G143" s="2023"/>
      <c r="H143" s="2000"/>
      <c r="I143" s="2023"/>
      <c r="J143" s="1956"/>
      <c r="K143" s="2023"/>
      <c r="L143" s="2000"/>
      <c r="M143" s="2023"/>
      <c r="N143" s="2000"/>
      <c r="O143" s="2023"/>
      <c r="P143" s="2162"/>
      <c r="Q143" s="2023"/>
      <c r="R143" s="2000"/>
      <c r="S143" s="2023"/>
      <c r="T143" s="2000"/>
      <c r="U143" s="2023"/>
      <c r="V143" s="2000"/>
      <c r="W143" s="2023"/>
      <c r="X143" s="2000"/>
      <c r="Y143" s="2023"/>
      <c r="Z143" s="2000"/>
      <c r="AA143" s="2000"/>
      <c r="AB143" s="2023"/>
      <c r="AC143" s="1784" t="s">
        <v>14</v>
      </c>
      <c r="AD143" s="1974"/>
      <c r="AE143" s="1974"/>
      <c r="AF143" s="2020" t="s">
        <v>14</v>
      </c>
      <c r="AG143" s="1986"/>
      <c r="AH143" s="2476"/>
      <c r="AI143" s="2462"/>
      <c r="AJ143" s="2463"/>
      <c r="AK143" s="1433"/>
    </row>
    <row r="144" spans="1:41" ht="15" customHeight="1">
      <c r="A144" s="2377"/>
      <c r="B144" s="2477"/>
      <c r="C144" s="2478"/>
      <c r="D144" s="2478"/>
      <c r="E144" s="2479"/>
      <c r="F144" s="2479"/>
      <c r="G144" s="2479"/>
      <c r="H144" s="2001"/>
      <c r="I144" s="2001"/>
      <c r="J144" s="1974"/>
      <c r="K144" s="2001"/>
      <c r="L144" s="2001"/>
      <c r="M144" s="2001"/>
      <c r="N144" s="2001"/>
      <c r="O144" s="2001"/>
      <c r="P144" s="2163"/>
      <c r="Q144" s="2001"/>
      <c r="R144" s="2001"/>
      <c r="S144" s="2001"/>
      <c r="T144" s="2001"/>
      <c r="U144" s="2001"/>
      <c r="V144" s="2001"/>
      <c r="W144" s="2001"/>
      <c r="X144" s="2001"/>
      <c r="Y144" s="2001"/>
      <c r="Z144" s="2001"/>
      <c r="AA144" s="2001"/>
      <c r="AB144" s="2001"/>
      <c r="AC144" s="1784" t="s">
        <v>1163</v>
      </c>
      <c r="AD144" s="1974"/>
      <c r="AE144" s="1974"/>
      <c r="AF144" s="1979" t="s">
        <v>14</v>
      </c>
      <c r="AG144" s="1985"/>
      <c r="AH144" s="2480"/>
      <c r="AI144" s="1427"/>
      <c r="AJ144" s="2432"/>
      <c r="AK144" s="1416"/>
    </row>
    <row r="145" spans="1:37" ht="14.1" customHeight="1">
      <c r="A145" s="2377"/>
      <c r="B145" s="2477"/>
      <c r="C145" s="2478"/>
      <c r="D145" s="2478"/>
      <c r="E145" s="2479"/>
      <c r="F145" s="2479"/>
      <c r="G145" s="2479"/>
      <c r="H145" s="2001"/>
      <c r="I145" s="2001"/>
      <c r="J145" s="1974"/>
      <c r="K145" s="2001"/>
      <c r="L145" s="2001"/>
      <c r="M145" s="2001"/>
      <c r="N145" s="2001"/>
      <c r="O145" s="2001"/>
      <c r="P145" s="2163"/>
      <c r="Q145" s="2001"/>
      <c r="R145" s="2001"/>
      <c r="S145" s="2001"/>
      <c r="T145" s="2001"/>
      <c r="U145" s="2001"/>
      <c r="V145" s="2001"/>
      <c r="W145" s="2001"/>
      <c r="X145" s="2001"/>
      <c r="Y145" s="2001"/>
      <c r="Z145" s="2001"/>
      <c r="AA145" s="2001"/>
      <c r="AB145" s="2001"/>
      <c r="AC145" s="1784" t="s">
        <v>14</v>
      </c>
      <c r="AD145" s="1974"/>
      <c r="AE145" s="1974"/>
      <c r="AF145" s="1979" t="s">
        <v>14</v>
      </c>
      <c r="AG145" s="1985"/>
      <c r="AH145" s="2480"/>
      <c r="AI145" s="1427"/>
      <c r="AJ145" s="2432"/>
      <c r="AK145" s="1416"/>
    </row>
    <row r="146" spans="1:37" ht="15" customHeight="1">
      <c r="A146" s="2377"/>
      <c r="B146" s="2477"/>
      <c r="C146" s="2478"/>
      <c r="D146" s="2478"/>
      <c r="E146" s="2479"/>
      <c r="F146" s="2479"/>
      <c r="G146" s="2479"/>
      <c r="H146" s="2001"/>
      <c r="I146" s="2001"/>
      <c r="J146" s="1974"/>
      <c r="K146" s="2001"/>
      <c r="L146" s="2001"/>
      <c r="M146" s="2001"/>
      <c r="N146" s="2001"/>
      <c r="O146" s="2001"/>
      <c r="P146" s="2163"/>
      <c r="Q146" s="2001"/>
      <c r="R146" s="2001"/>
      <c r="S146" s="2001"/>
      <c r="T146" s="2001"/>
      <c r="U146" s="2001"/>
      <c r="V146" s="2001"/>
      <c r="W146" s="2001"/>
      <c r="X146" s="2001"/>
      <c r="Y146" s="2001"/>
      <c r="Z146" s="2001"/>
      <c r="AA146" s="2001"/>
      <c r="AB146" s="2001"/>
      <c r="AC146" s="1784" t="s">
        <v>14</v>
      </c>
      <c r="AD146" s="1974"/>
      <c r="AE146" s="1974"/>
      <c r="AF146" s="1979" t="s">
        <v>114</v>
      </c>
      <c r="AG146" s="1985"/>
      <c r="AH146" s="2480"/>
      <c r="AI146" s="1427"/>
      <c r="AJ146" s="2432"/>
      <c r="AK146" s="1416"/>
    </row>
    <row r="147" spans="1:37" ht="15.75" customHeight="1">
      <c r="A147" s="2377"/>
      <c r="B147" s="2477"/>
      <c r="C147" s="2478"/>
      <c r="D147" s="2478"/>
      <c r="E147" s="2479"/>
      <c r="F147" s="2479"/>
      <c r="G147" s="2479"/>
      <c r="H147" s="2001"/>
      <c r="I147" s="2001"/>
      <c r="J147" s="1974"/>
      <c r="K147" s="2001"/>
      <c r="L147" s="2001"/>
      <c r="M147" s="2001"/>
      <c r="N147" s="2001"/>
      <c r="O147" s="2001"/>
      <c r="P147" s="2163"/>
      <c r="Q147" s="2001"/>
      <c r="R147" s="2001"/>
      <c r="S147" s="2001"/>
      <c r="T147" s="2001"/>
      <c r="U147" s="2001"/>
      <c r="V147" s="2001"/>
      <c r="W147" s="2001"/>
      <c r="X147" s="2001"/>
      <c r="Y147" s="2001"/>
      <c r="Z147" s="2001"/>
      <c r="AA147" s="2001"/>
      <c r="AB147" s="2001"/>
      <c r="AC147" s="1784" t="s">
        <v>14</v>
      </c>
      <c r="AD147" s="1974"/>
      <c r="AE147" s="1974"/>
      <c r="AF147" s="1979" t="s">
        <v>14</v>
      </c>
      <c r="AG147" s="1985"/>
      <c r="AH147" s="2480"/>
      <c r="AI147" s="1427"/>
      <c r="AJ147" s="2432"/>
      <c r="AK147" s="1416"/>
    </row>
    <row r="148" spans="1:37" ht="14.25" customHeight="1">
      <c r="A148" s="2377"/>
      <c r="B148" s="2477"/>
      <c r="C148" s="2478"/>
      <c r="D148" s="2478"/>
      <c r="E148" s="2479"/>
      <c r="F148" s="2479"/>
      <c r="G148" s="2479"/>
      <c r="H148" s="2001"/>
      <c r="I148" s="2001"/>
      <c r="J148" s="1974"/>
      <c r="K148" s="2001"/>
      <c r="L148" s="2001"/>
      <c r="M148" s="2001"/>
      <c r="N148" s="2001"/>
      <c r="O148" s="2001"/>
      <c r="P148" s="2163"/>
      <c r="Q148" s="2001"/>
      <c r="R148" s="2001"/>
      <c r="S148" s="2001"/>
      <c r="T148" s="2001"/>
      <c r="U148" s="2001"/>
      <c r="V148" s="2001"/>
      <c r="W148" s="2001"/>
      <c r="X148" s="2001"/>
      <c r="Y148" s="2001"/>
      <c r="Z148" s="2001"/>
      <c r="AA148" s="2001"/>
      <c r="AB148" s="2001"/>
      <c r="AC148" s="1974"/>
      <c r="AD148" s="1974"/>
      <c r="AE148" s="1974"/>
      <c r="AF148" s="1974"/>
      <c r="AG148" s="1985"/>
      <c r="AH148" s="2480"/>
      <c r="AI148" s="1427"/>
      <c r="AJ148" s="2432"/>
      <c r="AK148" s="1416"/>
    </row>
    <row r="149" spans="1:37" ht="14.25" customHeight="1">
      <c r="A149" s="2377"/>
      <c r="B149" s="2477"/>
      <c r="C149" s="2478"/>
      <c r="D149" s="2478"/>
      <c r="E149" s="2479"/>
      <c r="F149" s="2479"/>
      <c r="G149" s="2479"/>
      <c r="H149" s="2001"/>
      <c r="I149" s="2001"/>
      <c r="J149" s="1974"/>
      <c r="K149" s="2001"/>
      <c r="L149" s="2001"/>
      <c r="M149" s="2001"/>
      <c r="N149" s="2001"/>
      <c r="O149" s="2001"/>
      <c r="P149" s="2163"/>
      <c r="Q149" s="2001"/>
      <c r="R149" s="2001"/>
      <c r="S149" s="2001"/>
      <c r="T149" s="2001"/>
      <c r="U149" s="2001"/>
      <c r="V149" s="2001"/>
      <c r="W149" s="2001"/>
      <c r="X149" s="2001"/>
      <c r="Y149" s="2001"/>
      <c r="Z149" s="2001"/>
      <c r="AA149" s="2001"/>
      <c r="AB149" s="2001"/>
      <c r="AC149" s="1974"/>
      <c r="AD149" s="1974"/>
      <c r="AE149" s="1974"/>
      <c r="AF149" s="1974"/>
      <c r="AG149" s="1985"/>
      <c r="AH149" s="2480"/>
      <c r="AI149" s="1427"/>
      <c r="AJ149" s="2432"/>
      <c r="AK149" s="1416"/>
    </row>
    <row r="150" spans="1:37" ht="14.25" customHeight="1">
      <c r="A150" s="2377"/>
      <c r="B150" s="2477"/>
      <c r="C150" s="2478"/>
      <c r="D150" s="2478"/>
      <c r="E150" s="2479"/>
      <c r="F150" s="2479"/>
      <c r="G150" s="2479"/>
      <c r="H150" s="2001"/>
      <c r="I150" s="2001"/>
      <c r="J150" s="1974"/>
      <c r="K150" s="2001"/>
      <c r="L150" s="2001"/>
      <c r="M150" s="2001"/>
      <c r="N150" s="2001"/>
      <c r="O150" s="2001"/>
      <c r="P150" s="2163"/>
      <c r="Q150" s="2001"/>
      <c r="R150" s="2001"/>
      <c r="S150" s="2001"/>
      <c r="T150" s="2001"/>
      <c r="U150" s="2001"/>
      <c r="V150" s="2001"/>
      <c r="W150" s="2001"/>
      <c r="X150" s="2001"/>
      <c r="Y150" s="2001"/>
      <c r="Z150" s="2001"/>
      <c r="AA150" s="2001"/>
      <c r="AB150" s="2001"/>
      <c r="AC150" s="1974"/>
      <c r="AD150" s="1974"/>
      <c r="AE150" s="1974"/>
      <c r="AF150" s="1974"/>
      <c r="AG150" s="1985"/>
      <c r="AH150" s="2480"/>
      <c r="AI150" s="1427"/>
      <c r="AJ150" s="2432"/>
      <c r="AK150" s="1416"/>
    </row>
    <row r="151" spans="1:37" ht="14.25" customHeight="1">
      <c r="A151" s="2377"/>
      <c r="B151" s="2477"/>
      <c r="C151" s="2478"/>
      <c r="D151" s="2478"/>
      <c r="E151" s="2479"/>
      <c r="F151" s="2479"/>
      <c r="G151" s="2479"/>
      <c r="H151" s="2001"/>
      <c r="I151" s="2001"/>
      <c r="J151" s="1974"/>
      <c r="K151" s="2001"/>
      <c r="L151" s="2001"/>
      <c r="M151" s="2001"/>
      <c r="N151" s="2001"/>
      <c r="O151" s="2001"/>
      <c r="P151" s="2163"/>
      <c r="Q151" s="2001"/>
      <c r="R151" s="2001"/>
      <c r="S151" s="2001"/>
      <c r="T151" s="2001"/>
      <c r="U151" s="2001"/>
      <c r="V151" s="2001"/>
      <c r="W151" s="2001"/>
      <c r="X151" s="2001"/>
      <c r="Y151" s="2001"/>
      <c r="Z151" s="2001"/>
      <c r="AA151" s="2001"/>
      <c r="AB151" s="2001"/>
      <c r="AC151" s="1974"/>
      <c r="AD151" s="1974"/>
      <c r="AE151" s="1974"/>
      <c r="AF151" s="1974"/>
      <c r="AG151" s="1985"/>
      <c r="AH151" s="2480"/>
      <c r="AI151" s="1427"/>
      <c r="AJ151" s="2432"/>
      <c r="AK151" s="1416"/>
    </row>
    <row r="152" spans="1:37" ht="14.25" customHeight="1">
      <c r="A152" s="2377"/>
      <c r="B152" s="2477"/>
      <c r="C152" s="2478"/>
      <c r="D152" s="2478"/>
      <c r="E152" s="2479"/>
      <c r="F152" s="2479"/>
      <c r="G152" s="2479"/>
      <c r="H152" s="2001"/>
      <c r="I152" s="2001"/>
      <c r="J152" s="1974"/>
      <c r="K152" s="2001"/>
      <c r="L152" s="2001"/>
      <c r="M152" s="2001"/>
      <c r="N152" s="2001"/>
      <c r="O152" s="2001"/>
      <c r="P152" s="2163"/>
      <c r="Q152" s="2001"/>
      <c r="R152" s="2001"/>
      <c r="S152" s="2001"/>
      <c r="T152" s="2001"/>
      <c r="U152" s="2001"/>
      <c r="V152" s="2001"/>
      <c r="W152" s="2001"/>
      <c r="X152" s="2001"/>
      <c r="Y152" s="2001"/>
      <c r="Z152" s="2001"/>
      <c r="AA152" s="2001"/>
      <c r="AB152" s="2001"/>
      <c r="AC152" s="1974"/>
      <c r="AD152" s="1974"/>
      <c r="AE152" s="1974"/>
      <c r="AF152" s="1974"/>
      <c r="AG152" s="1985"/>
      <c r="AH152" s="2480"/>
      <c r="AI152" s="1427"/>
      <c r="AJ152" s="2432"/>
      <c r="AK152" s="1416"/>
    </row>
    <row r="153" spans="1:37" ht="14.25" customHeight="1">
      <c r="A153" s="2377"/>
      <c r="B153" s="2477"/>
      <c r="C153" s="2478"/>
      <c r="D153" s="2478"/>
      <c r="E153" s="2479"/>
      <c r="F153" s="2479"/>
      <c r="G153" s="2479"/>
      <c r="H153" s="2001"/>
      <c r="I153" s="2001"/>
      <c r="J153" s="1974"/>
      <c r="K153" s="2001"/>
      <c r="L153" s="2001"/>
      <c r="M153" s="2001"/>
      <c r="N153" s="2001"/>
      <c r="O153" s="2001"/>
      <c r="P153" s="2163"/>
      <c r="Q153" s="2001"/>
      <c r="R153" s="2001"/>
      <c r="S153" s="2001"/>
      <c r="T153" s="2001"/>
      <c r="U153" s="2001"/>
      <c r="V153" s="2001"/>
      <c r="W153" s="2001"/>
      <c r="X153" s="2001"/>
      <c r="Y153" s="2001"/>
      <c r="Z153" s="2001"/>
      <c r="AA153" s="2001"/>
      <c r="AB153" s="2001"/>
      <c r="AC153" s="1974"/>
      <c r="AD153" s="1974"/>
      <c r="AE153" s="1974"/>
      <c r="AF153" s="1974"/>
      <c r="AG153" s="1985"/>
      <c r="AH153" s="2480"/>
      <c r="AI153" s="1427"/>
      <c r="AJ153" s="2432"/>
      <c r="AK153" s="1416"/>
    </row>
    <row r="154" spans="1:37" ht="14.25" customHeight="1">
      <c r="A154" s="2377"/>
      <c r="B154" s="2477"/>
      <c r="C154" s="2478"/>
      <c r="D154" s="2478"/>
      <c r="E154" s="2479"/>
      <c r="F154" s="2479"/>
      <c r="G154" s="2479"/>
      <c r="H154" s="2001"/>
      <c r="I154" s="2001"/>
      <c r="J154" s="1974"/>
      <c r="K154" s="2001"/>
      <c r="L154" s="2001"/>
      <c r="M154" s="2001"/>
      <c r="N154" s="2001"/>
      <c r="O154" s="2001"/>
      <c r="P154" s="2163"/>
      <c r="Q154" s="2001"/>
      <c r="R154" s="2001"/>
      <c r="S154" s="2001"/>
      <c r="T154" s="2001"/>
      <c r="U154" s="2001"/>
      <c r="V154" s="2001"/>
      <c r="W154" s="2001"/>
      <c r="X154" s="2001"/>
      <c r="Y154" s="2001"/>
      <c r="Z154" s="2001"/>
      <c r="AA154" s="2001"/>
      <c r="AB154" s="2001"/>
      <c r="AC154" s="1974"/>
      <c r="AD154" s="1974"/>
      <c r="AE154" s="1974"/>
      <c r="AF154" s="1974"/>
      <c r="AG154" s="1985"/>
      <c r="AH154" s="2480"/>
      <c r="AI154" s="1427"/>
      <c r="AJ154" s="2432"/>
      <c r="AK154" s="1416"/>
    </row>
    <row r="155" spans="1:37" ht="14.25" customHeight="1">
      <c r="A155" s="2377"/>
      <c r="B155" s="2477"/>
      <c r="C155" s="2478"/>
      <c r="D155" s="2478"/>
      <c r="E155" s="2479"/>
      <c r="F155" s="2479"/>
      <c r="G155" s="2479"/>
      <c r="H155" s="2001"/>
      <c r="I155" s="2001"/>
      <c r="J155" s="1974"/>
      <c r="K155" s="2001"/>
      <c r="L155" s="2001"/>
      <c r="M155" s="2001"/>
      <c r="N155" s="2001"/>
      <c r="O155" s="2001"/>
      <c r="P155" s="2163"/>
      <c r="Q155" s="2001"/>
      <c r="R155" s="2001"/>
      <c r="S155" s="2001"/>
      <c r="T155" s="2001"/>
      <c r="U155" s="2001"/>
      <c r="V155" s="2001"/>
      <c r="W155" s="2001"/>
      <c r="X155" s="2001"/>
      <c r="Y155" s="2001"/>
      <c r="Z155" s="2001"/>
      <c r="AA155" s="2001"/>
      <c r="AB155" s="2001"/>
      <c r="AC155" s="2163"/>
      <c r="AD155" s="2163"/>
      <c r="AE155" s="2163"/>
      <c r="AF155" s="2163"/>
      <c r="AG155" s="2001"/>
      <c r="AH155" s="2481"/>
      <c r="AI155" s="1417"/>
      <c r="AJ155" s="2482"/>
      <c r="AK155" s="1416"/>
    </row>
    <row r="156" spans="1:37" ht="14.25" customHeight="1">
      <c r="A156" s="2377"/>
      <c r="B156" s="2477"/>
      <c r="C156" s="2478"/>
      <c r="D156" s="2478"/>
      <c r="E156" s="2479"/>
      <c r="F156" s="2479"/>
      <c r="G156" s="2479"/>
      <c r="H156" s="2001"/>
      <c r="I156" s="2001"/>
      <c r="J156" s="1974"/>
      <c r="K156" s="2001"/>
      <c r="L156" s="2001"/>
      <c r="M156" s="2001"/>
      <c r="N156" s="2001"/>
      <c r="O156" s="2001"/>
      <c r="P156" s="2163"/>
      <c r="Q156" s="2001"/>
      <c r="R156" s="2001"/>
      <c r="S156" s="2001"/>
      <c r="T156" s="2001"/>
      <c r="U156" s="2001"/>
      <c r="V156" s="2001"/>
      <c r="W156" s="2001"/>
      <c r="X156" s="2001"/>
      <c r="Y156" s="2001"/>
      <c r="Z156" s="2001"/>
      <c r="AA156" s="2001"/>
      <c r="AB156" s="2001"/>
      <c r="AC156" s="2163"/>
      <c r="AD156" s="2163"/>
      <c r="AE156" s="2163"/>
      <c r="AF156" s="2163"/>
      <c r="AG156" s="2001"/>
      <c r="AH156" s="2481"/>
      <c r="AI156" s="1417"/>
      <c r="AJ156" s="2482"/>
      <c r="AK156" s="1416"/>
    </row>
    <row r="157" spans="1:37" ht="14.25" customHeight="1">
      <c r="A157" s="2377"/>
      <c r="B157" s="2477"/>
      <c r="C157" s="2478"/>
      <c r="D157" s="2478"/>
      <c r="E157" s="2479"/>
      <c r="F157" s="2479"/>
      <c r="G157" s="2479"/>
      <c r="H157" s="2001"/>
      <c r="I157" s="2001"/>
      <c r="J157" s="1974"/>
      <c r="K157" s="2001"/>
      <c r="L157" s="2001"/>
      <c r="M157" s="2001"/>
      <c r="N157" s="2001"/>
      <c r="O157" s="2001"/>
      <c r="P157" s="2163"/>
      <c r="Q157" s="2001"/>
      <c r="R157" s="2001"/>
      <c r="S157" s="2001"/>
      <c r="T157" s="2001"/>
      <c r="U157" s="2001"/>
      <c r="V157" s="2001"/>
      <c r="W157" s="2001"/>
      <c r="X157" s="2001"/>
      <c r="Y157" s="2001"/>
      <c r="Z157" s="2001"/>
      <c r="AA157" s="2001"/>
      <c r="AB157" s="2001"/>
      <c r="AC157" s="2163"/>
      <c r="AD157" s="2163"/>
      <c r="AE157" s="2163"/>
      <c r="AF157" s="2163"/>
      <c r="AG157" s="2001"/>
      <c r="AH157" s="2481"/>
      <c r="AI157" s="1417"/>
      <c r="AJ157" s="2482"/>
      <c r="AK157" s="1416"/>
    </row>
    <row r="158" spans="1:37" ht="14.25" customHeight="1">
      <c r="A158" s="2377"/>
      <c r="B158" s="2477"/>
      <c r="C158" s="2478"/>
      <c r="D158" s="2478"/>
      <c r="E158" s="2479"/>
      <c r="F158" s="2479"/>
      <c r="G158" s="2479"/>
      <c r="H158" s="2001"/>
      <c r="I158" s="2001"/>
      <c r="J158" s="1974"/>
      <c r="K158" s="2001"/>
      <c r="L158" s="2001"/>
      <c r="M158" s="2001"/>
      <c r="N158" s="2001"/>
      <c r="O158" s="2001"/>
      <c r="P158" s="2163"/>
      <c r="Q158" s="2001"/>
      <c r="R158" s="2001"/>
      <c r="S158" s="2001"/>
      <c r="T158" s="2001"/>
      <c r="U158" s="2001"/>
      <c r="V158" s="2001"/>
      <c r="W158" s="2001"/>
      <c r="X158" s="2001"/>
      <c r="Y158" s="2001"/>
      <c r="Z158" s="2001"/>
      <c r="AA158" s="2001"/>
      <c r="AB158" s="2001"/>
      <c r="AC158" s="2163"/>
      <c r="AD158" s="2163"/>
      <c r="AE158" s="2163"/>
      <c r="AF158" s="2163"/>
      <c r="AG158" s="2001"/>
      <c r="AH158" s="2481"/>
      <c r="AI158" s="1417"/>
      <c r="AJ158" s="2482"/>
      <c r="AK158" s="1416"/>
    </row>
    <row r="159" spans="1:37" ht="14.25" customHeight="1">
      <c r="A159" s="2377"/>
      <c r="B159" s="2477"/>
      <c r="C159" s="2478"/>
      <c r="D159" s="2478"/>
      <c r="E159" s="2479"/>
      <c r="F159" s="2479"/>
      <c r="G159" s="2479"/>
      <c r="H159" s="2001"/>
      <c r="I159" s="2001"/>
      <c r="J159" s="1974"/>
      <c r="K159" s="2001"/>
      <c r="L159" s="2001"/>
      <c r="M159" s="2001"/>
      <c r="N159" s="2001"/>
      <c r="O159" s="2001"/>
      <c r="P159" s="2163"/>
      <c r="Q159" s="2001"/>
      <c r="R159" s="2001"/>
      <c r="S159" s="2001"/>
      <c r="T159" s="2001"/>
      <c r="U159" s="2001"/>
      <c r="V159" s="2001"/>
      <c r="W159" s="2001"/>
      <c r="X159" s="2001"/>
      <c r="Y159" s="2001"/>
      <c r="Z159" s="2001"/>
      <c r="AA159" s="2001"/>
      <c r="AB159" s="2001"/>
      <c r="AC159" s="2163"/>
      <c r="AD159" s="2163"/>
      <c r="AE159" s="2163"/>
      <c r="AF159" s="2163"/>
      <c r="AG159" s="2001"/>
      <c r="AH159" s="2481"/>
      <c r="AI159" s="1417"/>
      <c r="AJ159" s="2482"/>
      <c r="AK159" s="1416"/>
    </row>
    <row r="160" spans="1:37" ht="14.25" customHeight="1">
      <c r="A160" s="2377"/>
      <c r="B160" s="2477"/>
      <c r="C160" s="2478"/>
      <c r="D160" s="2478"/>
      <c r="E160" s="2479"/>
      <c r="F160" s="2479"/>
      <c r="G160" s="2479"/>
      <c r="H160" s="2001"/>
      <c r="I160" s="2001"/>
      <c r="J160" s="1974"/>
      <c r="K160" s="2001"/>
      <c r="L160" s="2001"/>
      <c r="M160" s="2001"/>
      <c r="N160" s="2001"/>
      <c r="O160" s="2001"/>
      <c r="P160" s="2163"/>
      <c r="Q160" s="2001"/>
      <c r="R160" s="2001"/>
      <c r="S160" s="2001"/>
      <c r="T160" s="2001"/>
      <c r="U160" s="2001"/>
      <c r="V160" s="2001"/>
      <c r="W160" s="2001"/>
      <c r="X160" s="2001"/>
      <c r="Y160" s="2001"/>
      <c r="Z160" s="2001"/>
      <c r="AA160" s="2001"/>
      <c r="AB160" s="2001"/>
      <c r="AC160" s="2163"/>
      <c r="AD160" s="2163"/>
      <c r="AE160" s="2163"/>
      <c r="AF160" s="2163"/>
      <c r="AG160" s="2001"/>
      <c r="AH160" s="2481"/>
      <c r="AI160" s="1417"/>
      <c r="AJ160" s="2482"/>
      <c r="AK160" s="1416"/>
    </row>
    <row r="161" spans="1:38" ht="14.25" customHeight="1">
      <c r="A161" s="2377"/>
      <c r="B161" s="2477"/>
      <c r="C161" s="2478"/>
      <c r="D161" s="2478"/>
      <c r="E161" s="2479"/>
      <c r="F161" s="2479"/>
      <c r="G161" s="2479"/>
      <c r="H161" s="2001"/>
      <c r="I161" s="2001"/>
      <c r="J161" s="1974"/>
      <c r="K161" s="2001"/>
      <c r="L161" s="2001"/>
      <c r="M161" s="2001"/>
      <c r="N161" s="2001"/>
      <c r="O161" s="2001"/>
      <c r="P161" s="2163"/>
      <c r="Q161" s="2001"/>
      <c r="R161" s="2001"/>
      <c r="S161" s="2001"/>
      <c r="T161" s="2001"/>
      <c r="U161" s="2001"/>
      <c r="V161" s="2001"/>
      <c r="W161" s="2001"/>
      <c r="X161" s="2001"/>
      <c r="Y161" s="2001"/>
      <c r="Z161" s="2001"/>
      <c r="AA161" s="2001"/>
      <c r="AB161" s="2001"/>
      <c r="AC161" s="2163"/>
      <c r="AD161" s="2163"/>
      <c r="AE161" s="2163"/>
      <c r="AF161" s="2163"/>
      <c r="AG161" s="2001"/>
      <c r="AH161" s="2481"/>
      <c r="AI161" s="1417"/>
      <c r="AJ161" s="2482"/>
      <c r="AK161" s="1416"/>
    </row>
    <row r="162" spans="1:38" ht="14.25" customHeight="1">
      <c r="A162" s="2377"/>
      <c r="B162" s="2477"/>
      <c r="C162" s="2478"/>
      <c r="D162" s="2478"/>
      <c r="E162" s="2479"/>
      <c r="F162" s="2479"/>
      <c r="G162" s="2479"/>
      <c r="H162" s="2001"/>
      <c r="I162" s="2001"/>
      <c r="J162" s="1974"/>
      <c r="K162" s="2001"/>
      <c r="L162" s="2001"/>
      <c r="M162" s="2001"/>
      <c r="N162" s="2001"/>
      <c r="O162" s="2001"/>
      <c r="P162" s="2163"/>
      <c r="Q162" s="2001"/>
      <c r="R162" s="2001"/>
      <c r="S162" s="2001"/>
      <c r="T162" s="2001"/>
      <c r="U162" s="2001"/>
      <c r="V162" s="2001"/>
      <c r="W162" s="2001"/>
      <c r="X162" s="2001"/>
      <c r="Y162" s="2001"/>
      <c r="Z162" s="2001"/>
      <c r="AA162" s="2001"/>
      <c r="AB162" s="2001"/>
      <c r="AC162" s="2163"/>
      <c r="AD162" s="2163"/>
      <c r="AE162" s="2163"/>
      <c r="AF162" s="2163"/>
      <c r="AG162" s="2001"/>
      <c r="AH162" s="2481"/>
      <c r="AI162" s="1417"/>
      <c r="AJ162" s="2482"/>
      <c r="AK162" s="1416"/>
    </row>
    <row r="163" spans="1:38" ht="14.25" customHeight="1">
      <c r="A163" s="2377"/>
      <c r="B163" s="2477"/>
      <c r="C163" s="2478"/>
      <c r="D163" s="2478"/>
      <c r="E163" s="2479"/>
      <c r="F163" s="2479"/>
      <c r="G163" s="2479"/>
      <c r="H163" s="2001"/>
      <c r="I163" s="2001"/>
      <c r="J163" s="1974"/>
      <c r="K163" s="2001"/>
      <c r="L163" s="2001"/>
      <c r="M163" s="2001"/>
      <c r="N163" s="2001"/>
      <c r="O163" s="2001"/>
      <c r="P163" s="2163"/>
      <c r="Q163" s="2001"/>
      <c r="R163" s="2001"/>
      <c r="S163" s="2001"/>
      <c r="T163" s="2001"/>
      <c r="U163" s="2001"/>
      <c r="V163" s="2001"/>
      <c r="W163" s="2001"/>
      <c r="X163" s="2001"/>
      <c r="Y163" s="2001"/>
      <c r="Z163" s="2001"/>
      <c r="AA163" s="2001"/>
      <c r="AB163" s="2001"/>
      <c r="AC163" s="2163"/>
      <c r="AD163" s="2163"/>
      <c r="AE163" s="2163"/>
      <c r="AF163" s="2163"/>
      <c r="AG163" s="2001"/>
      <c r="AH163" s="2481"/>
      <c r="AI163" s="1417"/>
      <c r="AJ163" s="2482"/>
      <c r="AK163" s="1416"/>
    </row>
    <row r="164" spans="1:38" ht="20.100000000000001" customHeight="1">
      <c r="A164" s="2377"/>
      <c r="B164" s="2454"/>
      <c r="C164" s="2001"/>
      <c r="D164" s="2001"/>
      <c r="E164" s="2001"/>
      <c r="F164" s="2001"/>
      <c r="G164" s="2001"/>
      <c r="H164" s="2001"/>
      <c r="I164" s="2001"/>
      <c r="J164" s="1974"/>
      <c r="K164" s="2001"/>
      <c r="L164" s="2001"/>
      <c r="M164" s="2001"/>
      <c r="N164" s="2001"/>
      <c r="O164" s="2001"/>
      <c r="P164" s="2163"/>
      <c r="Q164" s="2001"/>
      <c r="R164" s="2001"/>
      <c r="S164" s="2001"/>
      <c r="T164" s="2001"/>
      <c r="U164" s="2001"/>
      <c r="V164" s="2001"/>
      <c r="W164" s="2001"/>
      <c r="X164" s="2001"/>
      <c r="Y164" s="2001"/>
      <c r="Z164" s="2001"/>
      <c r="AA164" s="2001"/>
      <c r="AB164" s="2001"/>
      <c r="AC164" s="2163"/>
      <c r="AD164" s="2163"/>
      <c r="AE164" s="2163"/>
      <c r="AF164" s="2163"/>
      <c r="AG164" s="2001"/>
      <c r="AH164" s="2481"/>
      <c r="AI164" s="1417"/>
      <c r="AJ164" s="2482"/>
      <c r="AK164" s="1416"/>
    </row>
    <row r="165" spans="1:38" ht="20.100000000000001" customHeight="1">
      <c r="A165" s="2377"/>
      <c r="B165" s="2454"/>
      <c r="C165" s="2001"/>
      <c r="D165" s="2001"/>
      <c r="E165" s="2001"/>
      <c r="F165" s="2001"/>
      <c r="G165" s="2001"/>
      <c r="H165" s="2001"/>
      <c r="I165" s="2001"/>
      <c r="J165" s="1974"/>
      <c r="K165" s="2001"/>
      <c r="L165" s="2001"/>
      <c r="M165" s="2001"/>
      <c r="N165" s="2001"/>
      <c r="O165" s="2001"/>
      <c r="P165" s="2163"/>
      <c r="Q165" s="2001"/>
      <c r="R165" s="2001"/>
      <c r="S165" s="2001"/>
      <c r="T165" s="2001"/>
      <c r="U165" s="2001"/>
      <c r="V165" s="2001"/>
      <c r="W165" s="2001"/>
      <c r="X165" s="2001"/>
      <c r="Y165" s="2001"/>
      <c r="Z165" s="2001"/>
      <c r="AA165" s="2001"/>
      <c r="AB165" s="2001"/>
      <c r="AC165" s="2163"/>
      <c r="AD165" s="2163"/>
      <c r="AE165" s="2163"/>
      <c r="AF165" s="2163"/>
      <c r="AG165" s="2001"/>
      <c r="AH165" s="2481"/>
      <c r="AI165" s="1417"/>
      <c r="AJ165" s="2482"/>
      <c r="AK165" s="1416"/>
      <c r="AL165" s="2001"/>
    </row>
    <row r="166" spans="1:38" ht="20.100000000000001" customHeight="1">
      <c r="A166" s="2377"/>
      <c r="B166" s="2454"/>
      <c r="C166" s="2001"/>
      <c r="D166" s="2001"/>
      <c r="E166" s="2001"/>
      <c r="F166" s="2001"/>
      <c r="G166" s="2001"/>
      <c r="H166" s="2001"/>
      <c r="I166" s="2001"/>
      <c r="J166" s="1974"/>
      <c r="K166" s="2001"/>
      <c r="L166" s="2001"/>
      <c r="M166" s="2001"/>
      <c r="N166" s="2001"/>
      <c r="O166" s="2001"/>
      <c r="P166" s="2163"/>
      <c r="Q166" s="2001"/>
      <c r="R166" s="2001"/>
      <c r="S166" s="2001"/>
      <c r="T166" s="2001"/>
      <c r="U166" s="2001"/>
      <c r="V166" s="2001"/>
      <c r="W166" s="2001"/>
      <c r="X166" s="2001"/>
      <c r="Y166" s="2001"/>
      <c r="Z166" s="2001"/>
      <c r="AA166" s="2001"/>
      <c r="AB166" s="2001"/>
      <c r="AC166" s="2163"/>
      <c r="AD166" s="2163"/>
      <c r="AE166" s="2163"/>
      <c r="AF166" s="2163"/>
      <c r="AG166" s="2001"/>
      <c r="AH166" s="2481"/>
      <c r="AI166" s="1417"/>
      <c r="AJ166" s="2482"/>
      <c r="AK166" s="1416"/>
      <c r="AL166" s="2001"/>
    </row>
    <row r="167" spans="1:38" ht="20.100000000000001" customHeight="1">
      <c r="B167" s="2454"/>
      <c r="C167" s="2001"/>
      <c r="D167" s="2001"/>
      <c r="E167" s="2001"/>
      <c r="F167" s="2001"/>
      <c r="G167" s="2001"/>
      <c r="H167" s="2001"/>
      <c r="I167" s="2001"/>
      <c r="J167" s="1974"/>
      <c r="K167" s="2001"/>
      <c r="L167" s="2001"/>
      <c r="M167" s="2001"/>
      <c r="N167" s="2001"/>
      <c r="O167" s="2001"/>
      <c r="P167" s="2163"/>
      <c r="Q167" s="2001"/>
      <c r="R167" s="2001"/>
      <c r="S167" s="2001"/>
      <c r="T167" s="2001"/>
      <c r="U167" s="2001"/>
      <c r="V167" s="2001"/>
      <c r="W167" s="2001"/>
      <c r="X167" s="2001"/>
      <c r="Y167" s="2001"/>
      <c r="Z167" s="2001"/>
      <c r="AA167" s="2001"/>
      <c r="AB167" s="2001"/>
      <c r="AC167" s="2163"/>
      <c r="AD167" s="2163"/>
      <c r="AE167" s="2163"/>
      <c r="AF167" s="2163"/>
      <c r="AG167" s="2001"/>
      <c r="AH167" s="2001"/>
      <c r="AI167" s="1417"/>
      <c r="AJ167" s="2482"/>
      <c r="AK167" s="1416"/>
      <c r="AL167" s="2001"/>
    </row>
    <row r="168" spans="1:38" ht="20.100000000000001" customHeight="1">
      <c r="B168" s="2001"/>
      <c r="C168" s="2001"/>
      <c r="D168" s="2001"/>
      <c r="E168" s="2001"/>
      <c r="F168" s="2001"/>
      <c r="G168" s="2001"/>
      <c r="H168" s="2001"/>
      <c r="I168" s="2001"/>
      <c r="J168" s="1974"/>
      <c r="K168" s="2001"/>
      <c r="L168" s="2001"/>
      <c r="M168" s="2001"/>
      <c r="N168" s="2001"/>
      <c r="O168" s="2001"/>
      <c r="P168" s="2163"/>
      <c r="Q168" s="2001"/>
      <c r="R168" s="2001"/>
      <c r="S168" s="2001"/>
      <c r="T168" s="2001"/>
      <c r="U168" s="2001"/>
      <c r="V168" s="2001"/>
      <c r="W168" s="2001"/>
      <c r="X168" s="2001"/>
      <c r="Y168" s="2001"/>
      <c r="Z168" s="2001"/>
      <c r="AA168" s="2001"/>
      <c r="AB168" s="2001"/>
      <c r="AC168" s="2163"/>
      <c r="AD168" s="2163"/>
      <c r="AE168" s="2163"/>
      <c r="AF168" s="2163"/>
      <c r="AG168" s="2001"/>
      <c r="AH168" s="2001"/>
      <c r="AI168" s="1417"/>
      <c r="AJ168" s="2482"/>
      <c r="AK168" s="1416"/>
      <c r="AL168" s="2001"/>
    </row>
    <row r="169" spans="1:38" ht="20.100000000000001" customHeight="1">
      <c r="B169" s="2483"/>
      <c r="C169" s="2001"/>
      <c r="D169" s="2001"/>
      <c r="E169" s="2001"/>
      <c r="F169" s="2001"/>
      <c r="G169" s="2001"/>
      <c r="H169" s="2001"/>
      <c r="I169" s="2001"/>
      <c r="J169" s="1974"/>
      <c r="K169" s="2001"/>
      <c r="L169" s="2001"/>
      <c r="M169" s="2001"/>
      <c r="N169" s="2001"/>
      <c r="O169" s="2001"/>
      <c r="P169" s="2163"/>
      <c r="Q169" s="2001"/>
      <c r="R169" s="2001"/>
      <c r="S169" s="2001"/>
      <c r="T169" s="2001"/>
      <c r="U169" s="2001"/>
      <c r="V169" s="2001"/>
      <c r="W169" s="2001"/>
      <c r="X169" s="2001"/>
      <c r="Y169" s="2001"/>
      <c r="Z169" s="2001"/>
      <c r="AA169" s="2001"/>
      <c r="AB169" s="2001"/>
      <c r="AC169" s="2163"/>
      <c r="AD169" s="2163"/>
      <c r="AE169" s="2163"/>
      <c r="AF169" s="2163"/>
      <c r="AG169" s="2001"/>
      <c r="AI169" s="2004"/>
      <c r="AJ169" s="2416"/>
      <c r="AK169" s="1433"/>
      <c r="AL169" s="2001"/>
    </row>
    <row r="170" spans="1:38" ht="20.100000000000001" customHeight="1">
      <c r="B170" s="2001"/>
      <c r="C170" s="2001"/>
      <c r="D170" s="2001"/>
      <c r="E170" s="2001"/>
      <c r="F170" s="2001"/>
      <c r="G170" s="2001"/>
      <c r="H170" s="2001"/>
      <c r="I170" s="2001"/>
      <c r="J170" s="1974"/>
      <c r="K170" s="2001"/>
      <c r="L170" s="2001"/>
      <c r="M170" s="2001"/>
      <c r="N170" s="2001"/>
      <c r="O170" s="2001"/>
      <c r="P170" s="2163"/>
      <c r="Q170" s="2001"/>
      <c r="R170" s="2001"/>
      <c r="S170" s="2001"/>
      <c r="T170" s="2001"/>
      <c r="U170" s="2001"/>
      <c r="V170" s="2001"/>
      <c r="W170" s="2001"/>
      <c r="X170" s="2001"/>
      <c r="Y170" s="2001"/>
      <c r="Z170" s="2001"/>
      <c r="AA170" s="2001"/>
      <c r="AB170" s="2001"/>
      <c r="AC170" s="2163"/>
      <c r="AD170" s="2163"/>
      <c r="AE170" s="2163"/>
      <c r="AF170" s="2163"/>
      <c r="AG170" s="2001"/>
      <c r="AI170" s="2004"/>
      <c r="AJ170" s="2416"/>
      <c r="AK170" s="1433"/>
      <c r="AL170" s="2001"/>
    </row>
    <row r="171" spans="1:38" ht="20.100000000000001" customHeight="1">
      <c r="B171" s="2001"/>
      <c r="C171" s="2001"/>
      <c r="D171" s="2001"/>
      <c r="E171" s="2001"/>
      <c r="F171" s="2001"/>
      <c r="G171" s="2001"/>
      <c r="H171" s="2001"/>
      <c r="I171" s="2001"/>
      <c r="J171" s="1974"/>
      <c r="K171" s="2001"/>
      <c r="L171" s="2001"/>
      <c r="M171" s="2001"/>
      <c r="N171" s="2001"/>
      <c r="O171" s="2001"/>
      <c r="P171" s="2163"/>
      <c r="Q171" s="2001"/>
      <c r="R171" s="2001"/>
      <c r="S171" s="2001"/>
      <c r="T171" s="2001"/>
      <c r="U171" s="2001"/>
      <c r="V171" s="2001"/>
      <c r="W171" s="2001"/>
      <c r="X171" s="2001"/>
      <c r="Y171" s="2001"/>
      <c r="Z171" s="2001"/>
      <c r="AA171" s="2001"/>
      <c r="AB171" s="2001"/>
      <c r="AC171" s="2163"/>
      <c r="AD171" s="2163"/>
      <c r="AE171" s="2163"/>
      <c r="AF171" s="2163"/>
      <c r="AG171" s="2001"/>
      <c r="AI171" s="2004"/>
      <c r="AJ171" s="2416"/>
      <c r="AK171" s="1433"/>
      <c r="AL171" s="2001"/>
    </row>
    <row r="172" spans="1:38" ht="20.100000000000001" customHeight="1">
      <c r="B172" s="2004"/>
      <c r="C172" s="2004"/>
      <c r="D172" s="2004"/>
      <c r="E172" s="2004"/>
      <c r="F172" s="2004"/>
      <c r="G172" s="2004"/>
      <c r="H172" s="2004"/>
      <c r="I172" s="2004"/>
      <c r="J172" s="2378"/>
      <c r="K172" s="2004"/>
      <c r="L172" s="2004"/>
      <c r="M172" s="2004"/>
      <c r="N172" s="2004"/>
      <c r="O172" s="2004"/>
      <c r="P172" s="2170"/>
      <c r="Q172" s="2004"/>
      <c r="R172" s="2004"/>
      <c r="S172" s="2004"/>
      <c r="T172" s="2004"/>
      <c r="U172" s="2004"/>
      <c r="V172" s="2004"/>
      <c r="W172" s="2004"/>
      <c r="X172" s="2004"/>
      <c r="Y172" s="2004"/>
      <c r="Z172" s="2004"/>
      <c r="AA172" s="2004"/>
      <c r="AB172" s="2004"/>
      <c r="AC172" s="2170"/>
      <c r="AD172" s="2170"/>
      <c r="AE172" s="2170"/>
      <c r="AF172" s="2170"/>
      <c r="AG172" s="2004"/>
      <c r="AI172" s="2004"/>
      <c r="AJ172" s="2416"/>
      <c r="AK172" s="1433"/>
      <c r="AL172" s="2001"/>
    </row>
    <row r="173" spans="1:38" ht="20.100000000000001" customHeight="1">
      <c r="B173" s="2004"/>
      <c r="C173" s="2004"/>
      <c r="D173" s="2004"/>
      <c r="E173" s="2004"/>
      <c r="F173" s="2004"/>
      <c r="G173" s="2004"/>
      <c r="H173" s="2004"/>
      <c r="I173" s="2004"/>
      <c r="J173" s="2378"/>
      <c r="K173" s="2004"/>
      <c r="L173" s="2004"/>
      <c r="M173" s="2004"/>
      <c r="N173" s="2004"/>
      <c r="O173" s="2004"/>
      <c r="P173" s="2170"/>
      <c r="Q173" s="2004"/>
      <c r="R173" s="2004"/>
      <c r="S173" s="2004"/>
      <c r="T173" s="2004"/>
      <c r="U173" s="2004"/>
      <c r="V173" s="2004"/>
      <c r="W173" s="2004"/>
      <c r="X173" s="2004"/>
      <c r="Y173" s="2004"/>
      <c r="Z173" s="2004"/>
      <c r="AA173" s="2004"/>
      <c r="AB173" s="2004"/>
      <c r="AC173" s="2170"/>
      <c r="AD173" s="2170"/>
      <c r="AE173" s="2170"/>
      <c r="AF173" s="2170"/>
      <c r="AG173" s="2004"/>
    </row>
    <row r="174" spans="1:38" ht="20.100000000000001" customHeight="1">
      <c r="B174" s="2004"/>
      <c r="C174" s="2004"/>
      <c r="D174" s="2004"/>
      <c r="E174" s="2004"/>
      <c r="F174" s="2004"/>
      <c r="G174" s="2004"/>
      <c r="H174" s="2004"/>
      <c r="I174" s="2004"/>
      <c r="J174" s="2378"/>
      <c r="K174" s="2004"/>
      <c r="L174" s="2004"/>
      <c r="M174" s="2004"/>
      <c r="N174" s="2004"/>
      <c r="O174" s="2004"/>
      <c r="P174" s="2170"/>
      <c r="Q174" s="2004"/>
      <c r="R174" s="2004"/>
      <c r="S174" s="2004"/>
      <c r="T174" s="2004"/>
      <c r="U174" s="2004"/>
      <c r="V174" s="2004"/>
      <c r="W174" s="2004"/>
      <c r="X174" s="2004"/>
      <c r="Y174" s="2004"/>
      <c r="Z174" s="2004"/>
      <c r="AA174" s="2004"/>
      <c r="AB174" s="2004"/>
      <c r="AC174" s="2170"/>
      <c r="AD174" s="2170"/>
      <c r="AE174" s="2170"/>
      <c r="AF174" s="2170"/>
      <c r="AG174" s="2004"/>
    </row>
    <row r="175" spans="1:38" ht="20.100000000000001" customHeight="1">
      <c r="B175" s="2004"/>
      <c r="C175" s="2004"/>
      <c r="D175" s="2004"/>
      <c r="E175" s="2004"/>
      <c r="F175" s="2004"/>
      <c r="G175" s="2004"/>
      <c r="H175" s="2004"/>
      <c r="I175" s="2004"/>
      <c r="J175" s="2378"/>
      <c r="K175" s="2004"/>
      <c r="L175" s="2004"/>
      <c r="M175" s="2004"/>
      <c r="N175" s="2004"/>
      <c r="O175" s="2004"/>
      <c r="P175" s="2170"/>
      <c r="Q175" s="2004"/>
      <c r="R175" s="2004"/>
      <c r="S175" s="2004"/>
      <c r="T175" s="2004"/>
      <c r="U175" s="2004"/>
      <c r="V175" s="2004"/>
      <c r="W175" s="2004"/>
      <c r="X175" s="2004"/>
      <c r="Y175" s="2004"/>
      <c r="Z175" s="2004"/>
      <c r="AA175" s="2004"/>
      <c r="AB175" s="2004"/>
      <c r="AC175" s="2170"/>
      <c r="AD175" s="2170"/>
      <c r="AE175" s="2170"/>
      <c r="AF175" s="2170"/>
      <c r="AG175" s="2004"/>
    </row>
    <row r="176" spans="1:38" ht="20.100000000000001" customHeight="1">
      <c r="B176" s="2004"/>
      <c r="C176" s="2004"/>
      <c r="D176" s="2004"/>
      <c r="E176" s="2004"/>
      <c r="F176" s="2004"/>
      <c r="G176" s="2004"/>
      <c r="H176" s="2004"/>
      <c r="I176" s="2004"/>
      <c r="J176" s="2378"/>
      <c r="K176" s="2004"/>
      <c r="L176" s="2004"/>
      <c r="M176" s="2004"/>
      <c r="N176" s="2004"/>
      <c r="O176" s="2004"/>
      <c r="P176" s="2170"/>
      <c r="Q176" s="2004"/>
      <c r="R176" s="2004"/>
      <c r="S176" s="2004"/>
      <c r="T176" s="2004"/>
      <c r="U176" s="2004"/>
      <c r="V176" s="2004"/>
      <c r="W176" s="2004"/>
      <c r="X176" s="2004"/>
      <c r="Y176" s="2004"/>
      <c r="Z176" s="2004"/>
      <c r="AA176" s="2004"/>
      <c r="AB176" s="2004"/>
      <c r="AC176" s="2170"/>
      <c r="AD176" s="2170"/>
      <c r="AE176" s="2170"/>
      <c r="AF176" s="2170"/>
      <c r="AG176" s="2004"/>
    </row>
    <row r="177" spans="2:33">
      <c r="B177" s="2004"/>
      <c r="C177" s="2004"/>
      <c r="D177" s="2004"/>
      <c r="E177" s="2004"/>
      <c r="F177" s="2004"/>
      <c r="G177" s="2004"/>
      <c r="H177" s="2004"/>
      <c r="I177" s="2004"/>
      <c r="J177" s="2378"/>
      <c r="K177" s="2004"/>
      <c r="L177" s="2004"/>
      <c r="M177" s="2004"/>
      <c r="N177" s="2004"/>
      <c r="O177" s="2004"/>
      <c r="P177" s="2170"/>
      <c r="Q177" s="2004"/>
      <c r="R177" s="2004"/>
      <c r="S177" s="2004"/>
      <c r="T177" s="2004"/>
      <c r="U177" s="2004"/>
      <c r="V177" s="2004"/>
      <c r="W177" s="2004"/>
      <c r="X177" s="2004"/>
      <c r="Y177" s="2004"/>
      <c r="Z177" s="2004"/>
      <c r="AA177" s="2004"/>
      <c r="AB177" s="2004"/>
      <c r="AC177" s="2170"/>
      <c r="AD177" s="2170"/>
      <c r="AE177" s="2170"/>
      <c r="AF177" s="2170"/>
      <c r="AG177" s="2004"/>
    </row>
    <row r="178" spans="2:33">
      <c r="B178" s="2004"/>
      <c r="C178" s="2004"/>
      <c r="D178" s="2004"/>
      <c r="E178" s="2004"/>
      <c r="F178" s="2004"/>
      <c r="G178" s="2004"/>
      <c r="H178" s="2004"/>
      <c r="I178" s="2004"/>
      <c r="J178" s="2378"/>
      <c r="K178" s="2004"/>
      <c r="L178" s="2004"/>
      <c r="M178" s="2004"/>
      <c r="N178" s="2004"/>
      <c r="O178" s="2004"/>
      <c r="P178" s="2170"/>
      <c r="Q178" s="2004"/>
      <c r="R178" s="2004"/>
      <c r="S178" s="2004"/>
      <c r="T178" s="2004"/>
      <c r="U178" s="2004"/>
      <c r="V178" s="2004"/>
      <c r="W178" s="2004"/>
      <c r="X178" s="2004"/>
      <c r="Y178" s="2004"/>
      <c r="Z178" s="2004"/>
      <c r="AA178" s="2004"/>
      <c r="AB178" s="2004"/>
      <c r="AC178" s="2170"/>
      <c r="AD178" s="2170"/>
      <c r="AE178" s="2170"/>
      <c r="AF178" s="2170"/>
      <c r="AG178" s="2004"/>
    </row>
    <row r="179" spans="2:33">
      <c r="B179" s="2004"/>
      <c r="C179" s="2004"/>
      <c r="D179" s="2004"/>
      <c r="E179" s="2004"/>
      <c r="F179" s="2004"/>
      <c r="G179" s="2004"/>
      <c r="H179" s="2004"/>
      <c r="I179" s="2004"/>
      <c r="J179" s="2378"/>
      <c r="K179" s="2004"/>
      <c r="L179" s="2004"/>
      <c r="M179" s="2004"/>
      <c r="N179" s="2004"/>
      <c r="O179" s="2004"/>
      <c r="P179" s="2170"/>
      <c r="Q179" s="2004"/>
      <c r="R179" s="2004"/>
      <c r="S179" s="2004"/>
      <c r="T179" s="2004"/>
      <c r="U179" s="2004"/>
      <c r="V179" s="2004"/>
      <c r="W179" s="2004"/>
      <c r="X179" s="2004"/>
      <c r="Y179" s="2004"/>
      <c r="Z179" s="2004"/>
      <c r="AA179" s="2004"/>
      <c r="AB179" s="2004"/>
      <c r="AC179" s="2170"/>
      <c r="AD179" s="2170"/>
      <c r="AE179" s="2170"/>
      <c r="AF179" s="2170"/>
      <c r="AG179" s="2004"/>
    </row>
    <row r="180" spans="2:33">
      <c r="B180" s="2004"/>
      <c r="C180" s="2004"/>
      <c r="D180" s="2004"/>
      <c r="E180" s="2004"/>
      <c r="F180" s="2004"/>
      <c r="G180" s="2004"/>
      <c r="H180" s="2004"/>
      <c r="I180" s="2004"/>
      <c r="J180" s="2378"/>
      <c r="K180" s="2004"/>
      <c r="L180" s="2004"/>
      <c r="M180" s="2004"/>
      <c r="N180" s="2004"/>
      <c r="O180" s="2004"/>
      <c r="P180" s="2170"/>
      <c r="Q180" s="2004"/>
      <c r="R180" s="2004"/>
      <c r="S180" s="2004"/>
      <c r="T180" s="2004"/>
      <c r="U180" s="2004"/>
      <c r="V180" s="2004"/>
      <c r="W180" s="2004"/>
      <c r="X180" s="2004"/>
      <c r="Y180" s="2004"/>
      <c r="Z180" s="2004"/>
      <c r="AA180" s="2004"/>
      <c r="AB180" s="2004"/>
      <c r="AC180" s="2170"/>
      <c r="AD180" s="2170"/>
      <c r="AE180" s="2170"/>
      <c r="AF180" s="2170"/>
      <c r="AG180" s="2004"/>
    </row>
    <row r="181" spans="2:33">
      <c r="B181" s="2004"/>
      <c r="C181" s="2004"/>
      <c r="D181" s="2004"/>
      <c r="E181" s="2004"/>
      <c r="F181" s="2004"/>
      <c r="G181" s="2004"/>
      <c r="H181" s="2004"/>
      <c r="I181" s="2004"/>
      <c r="J181" s="2378"/>
      <c r="K181" s="2004"/>
      <c r="L181" s="2004"/>
      <c r="M181" s="2004"/>
      <c r="N181" s="2004"/>
      <c r="O181" s="2004"/>
      <c r="P181" s="2170"/>
      <c r="Q181" s="2004"/>
      <c r="R181" s="2004"/>
      <c r="S181" s="2004"/>
      <c r="T181" s="2004"/>
      <c r="U181" s="2004"/>
      <c r="V181" s="2004"/>
      <c r="W181" s="2004"/>
      <c r="X181" s="2004"/>
      <c r="Y181" s="2004"/>
      <c r="Z181" s="2004"/>
      <c r="AA181" s="2004"/>
      <c r="AB181" s="2004"/>
      <c r="AC181" s="2170"/>
      <c r="AD181" s="2170"/>
      <c r="AE181" s="2170"/>
      <c r="AF181" s="2170"/>
      <c r="AG181" s="2004"/>
    </row>
    <row r="182" spans="2:33">
      <c r="B182" s="2004"/>
      <c r="C182" s="2004"/>
      <c r="D182" s="2004"/>
      <c r="E182" s="2004"/>
      <c r="F182" s="2004"/>
      <c r="G182" s="2004"/>
      <c r="H182" s="2004"/>
      <c r="I182" s="2004"/>
      <c r="J182" s="2378"/>
      <c r="K182" s="2004"/>
      <c r="L182" s="2004"/>
      <c r="M182" s="2004"/>
      <c r="N182" s="2004"/>
      <c r="O182" s="2004"/>
      <c r="P182" s="2170"/>
      <c r="Q182" s="2004"/>
      <c r="R182" s="2004"/>
      <c r="S182" s="2004"/>
      <c r="T182" s="2004"/>
      <c r="U182" s="2004"/>
      <c r="V182" s="2004"/>
      <c r="W182" s="2004"/>
      <c r="X182" s="2004"/>
      <c r="Y182" s="2004"/>
      <c r="Z182" s="2004"/>
      <c r="AA182" s="2004"/>
      <c r="AB182" s="2004"/>
      <c r="AC182" s="2170"/>
      <c r="AD182" s="2170"/>
      <c r="AE182" s="2170"/>
      <c r="AF182" s="2170"/>
      <c r="AG182" s="2004"/>
    </row>
    <row r="183" spans="2:33">
      <c r="B183" s="2004"/>
      <c r="C183" s="2004"/>
      <c r="D183" s="2004"/>
      <c r="E183" s="2004"/>
      <c r="F183" s="2004"/>
      <c r="G183" s="2004"/>
      <c r="H183" s="2004"/>
      <c r="I183" s="2004"/>
      <c r="J183" s="2378"/>
      <c r="K183" s="2004"/>
      <c r="L183" s="2004"/>
      <c r="M183" s="2004"/>
      <c r="N183" s="2004"/>
      <c r="O183" s="2004"/>
      <c r="P183" s="2170"/>
      <c r="Q183" s="2004"/>
      <c r="R183" s="2004"/>
      <c r="S183" s="2004"/>
      <c r="T183" s="2004"/>
      <c r="U183" s="2004"/>
      <c r="V183" s="2004"/>
      <c r="W183" s="2004"/>
      <c r="X183" s="2004"/>
      <c r="Y183" s="2004"/>
      <c r="Z183" s="2004"/>
      <c r="AA183" s="2004"/>
      <c r="AB183" s="2004"/>
      <c r="AC183" s="2170"/>
      <c r="AD183" s="2170"/>
      <c r="AE183" s="2170"/>
      <c r="AF183" s="2170"/>
      <c r="AG183" s="2004"/>
    </row>
    <row r="184" spans="2:33">
      <c r="B184" s="2004"/>
      <c r="C184" s="2004"/>
      <c r="D184" s="2004"/>
      <c r="E184" s="2004"/>
      <c r="F184" s="2004"/>
      <c r="G184" s="2004"/>
      <c r="H184" s="2004"/>
      <c r="I184" s="2004"/>
      <c r="J184" s="2378"/>
      <c r="K184" s="2004"/>
      <c r="L184" s="2004"/>
      <c r="M184" s="2004"/>
      <c r="N184" s="2004"/>
      <c r="O184" s="2004"/>
      <c r="P184" s="2170"/>
      <c r="Q184" s="2004"/>
      <c r="R184" s="2004"/>
      <c r="S184" s="2004"/>
      <c r="T184" s="2004"/>
      <c r="U184" s="2004"/>
      <c r="V184" s="2004"/>
      <c r="W184" s="2004"/>
      <c r="X184" s="2004"/>
      <c r="Y184" s="2004"/>
      <c r="Z184" s="2004"/>
      <c r="AA184" s="2004"/>
      <c r="AB184" s="2004"/>
      <c r="AC184" s="2170"/>
      <c r="AD184" s="2170"/>
      <c r="AE184" s="2170"/>
      <c r="AF184" s="2170"/>
      <c r="AG184" s="2004"/>
    </row>
    <row r="185" spans="2:33">
      <c r="B185" s="2004"/>
      <c r="C185" s="2004"/>
      <c r="D185" s="2004"/>
      <c r="E185" s="2004"/>
      <c r="F185" s="2004"/>
      <c r="G185" s="2004"/>
      <c r="H185" s="2004"/>
      <c r="I185" s="2004"/>
      <c r="J185" s="2378"/>
      <c r="K185" s="2004"/>
      <c r="L185" s="2004"/>
      <c r="M185" s="2004"/>
      <c r="N185" s="2004"/>
      <c r="O185" s="2004"/>
      <c r="P185" s="2170"/>
      <c r="Q185" s="2004"/>
      <c r="R185" s="2004"/>
      <c r="S185" s="2004"/>
      <c r="T185" s="2004"/>
      <c r="U185" s="2004"/>
      <c r="V185" s="2004"/>
      <c r="W185" s="2004"/>
      <c r="X185" s="2004"/>
      <c r="Y185" s="2004"/>
      <c r="Z185" s="2004"/>
      <c r="AA185" s="2004"/>
      <c r="AB185" s="2004"/>
      <c r="AC185" s="2170"/>
      <c r="AD185" s="2170"/>
      <c r="AE185" s="2170"/>
      <c r="AF185" s="2170"/>
      <c r="AG185" s="2004"/>
    </row>
    <row r="186" spans="2:33">
      <c r="B186" s="2004"/>
      <c r="C186" s="2004"/>
      <c r="D186" s="2004"/>
      <c r="E186" s="2004"/>
      <c r="F186" s="2004"/>
      <c r="G186" s="2004"/>
      <c r="H186" s="2004"/>
      <c r="I186" s="2004"/>
      <c r="J186" s="2378"/>
      <c r="K186" s="2004"/>
      <c r="L186" s="2004"/>
      <c r="M186" s="2004"/>
      <c r="N186" s="2004"/>
      <c r="O186" s="2004"/>
      <c r="P186" s="2170"/>
      <c r="Q186" s="2004"/>
      <c r="R186" s="2004"/>
      <c r="S186" s="2004"/>
      <c r="T186" s="2004"/>
      <c r="U186" s="2004"/>
      <c r="V186" s="2004"/>
      <c r="W186" s="2004"/>
      <c r="X186" s="2004"/>
      <c r="Y186" s="2004"/>
      <c r="Z186" s="2004"/>
      <c r="AA186" s="2004"/>
      <c r="AB186" s="2004"/>
      <c r="AC186" s="2170"/>
      <c r="AD186" s="2170"/>
      <c r="AE186" s="2170"/>
      <c r="AF186" s="2170"/>
      <c r="AG186" s="2004"/>
    </row>
    <row r="187" spans="2:33">
      <c r="B187" s="2004"/>
      <c r="C187" s="2004"/>
      <c r="D187" s="2004"/>
      <c r="E187" s="2004"/>
      <c r="F187" s="2004"/>
      <c r="G187" s="2004"/>
      <c r="H187" s="2004"/>
      <c r="I187" s="2004"/>
      <c r="J187" s="2378"/>
      <c r="K187" s="2004"/>
      <c r="L187" s="2004"/>
      <c r="M187" s="2004"/>
      <c r="N187" s="2004"/>
      <c r="O187" s="2004"/>
      <c r="P187" s="2170"/>
      <c r="Q187" s="2004"/>
      <c r="R187" s="2004"/>
      <c r="S187" s="2004"/>
      <c r="T187" s="2004"/>
      <c r="U187" s="2004"/>
      <c r="V187" s="2004"/>
      <c r="W187" s="2004"/>
      <c r="X187" s="2004"/>
      <c r="Y187" s="2004"/>
      <c r="Z187" s="2004"/>
      <c r="AA187" s="2004"/>
      <c r="AB187" s="2004"/>
      <c r="AC187" s="2170"/>
      <c r="AD187" s="2170"/>
      <c r="AE187" s="2170"/>
      <c r="AF187" s="2170"/>
      <c r="AG187" s="2004"/>
    </row>
    <row r="188" spans="2:33">
      <c r="B188" s="2004"/>
      <c r="C188" s="2004"/>
      <c r="D188" s="2004"/>
      <c r="E188" s="2004"/>
      <c r="F188" s="2004"/>
      <c r="G188" s="2004"/>
      <c r="H188" s="2004"/>
      <c r="I188" s="2004"/>
      <c r="J188" s="2378"/>
      <c r="K188" s="2004"/>
      <c r="L188" s="2004"/>
      <c r="M188" s="2004"/>
      <c r="N188" s="2004"/>
      <c r="O188" s="2004"/>
      <c r="P188" s="2170"/>
      <c r="Q188" s="2004"/>
      <c r="R188" s="2004"/>
      <c r="S188" s="2004"/>
      <c r="T188" s="2004"/>
      <c r="U188" s="2004"/>
      <c r="V188" s="2004"/>
      <c r="W188" s="2004"/>
      <c r="X188" s="2004"/>
      <c r="Y188" s="2004"/>
      <c r="Z188" s="2004"/>
      <c r="AA188" s="2004"/>
      <c r="AB188" s="2004"/>
      <c r="AC188" s="2170"/>
      <c r="AD188" s="2170"/>
      <c r="AE188" s="2170"/>
      <c r="AF188" s="2170"/>
      <c r="AG188" s="2004"/>
    </row>
    <row r="189" spans="2:33">
      <c r="B189" s="2004"/>
      <c r="C189" s="2004"/>
      <c r="D189" s="2004"/>
      <c r="E189" s="2004"/>
      <c r="F189" s="2004"/>
      <c r="G189" s="2004"/>
      <c r="H189" s="2004"/>
      <c r="I189" s="2004"/>
      <c r="J189" s="2378"/>
      <c r="K189" s="2004"/>
      <c r="L189" s="2004"/>
      <c r="M189" s="2004"/>
      <c r="N189" s="2004"/>
      <c r="O189" s="2004"/>
      <c r="P189" s="2170"/>
      <c r="Q189" s="2004"/>
      <c r="R189" s="2004"/>
      <c r="S189" s="2004"/>
      <c r="T189" s="2004"/>
      <c r="U189" s="2004"/>
      <c r="V189" s="2004"/>
      <c r="W189" s="2004"/>
      <c r="X189" s="2004"/>
      <c r="Y189" s="2004"/>
      <c r="Z189" s="2004"/>
      <c r="AA189" s="2004"/>
      <c r="AB189" s="2004"/>
      <c r="AC189" s="2170"/>
      <c r="AD189" s="2170"/>
      <c r="AE189" s="2170"/>
      <c r="AF189" s="2170"/>
      <c r="AG189" s="2004"/>
    </row>
    <row r="190" spans="2:33">
      <c r="B190" s="2004"/>
      <c r="C190" s="2004"/>
      <c r="D190" s="2004"/>
      <c r="E190" s="2004"/>
      <c r="F190" s="2004"/>
      <c r="G190" s="2004"/>
      <c r="H190" s="2004"/>
      <c r="I190" s="2004"/>
      <c r="J190" s="2378"/>
      <c r="K190" s="2004"/>
      <c r="L190" s="2004"/>
      <c r="M190" s="2004"/>
      <c r="N190" s="2004"/>
      <c r="O190" s="2004"/>
      <c r="P190" s="2170"/>
      <c r="Q190" s="2004"/>
      <c r="R190" s="2004"/>
      <c r="S190" s="2004"/>
      <c r="T190" s="2004"/>
      <c r="U190" s="2004"/>
      <c r="V190" s="2004"/>
      <c r="W190" s="2004"/>
      <c r="X190" s="2004"/>
      <c r="Y190" s="2004"/>
      <c r="Z190" s="2004"/>
      <c r="AA190" s="2004"/>
      <c r="AB190" s="2004"/>
      <c r="AC190" s="2170"/>
      <c r="AD190" s="2170"/>
      <c r="AE190" s="2170"/>
      <c r="AF190" s="2170"/>
      <c r="AG190" s="2004"/>
    </row>
    <row r="191" spans="2:33">
      <c r="B191" s="2004"/>
      <c r="C191" s="2004"/>
      <c r="D191" s="2004"/>
      <c r="E191" s="2004"/>
      <c r="F191" s="2004"/>
      <c r="G191" s="2004"/>
      <c r="H191" s="2004"/>
      <c r="I191" s="2004"/>
      <c r="J191" s="2378"/>
      <c r="K191" s="2004"/>
      <c r="L191" s="2004"/>
      <c r="M191" s="2004"/>
      <c r="N191" s="2004"/>
      <c r="O191" s="2004"/>
      <c r="P191" s="2170"/>
      <c r="Q191" s="2004"/>
      <c r="R191" s="2004"/>
      <c r="S191" s="2004"/>
      <c r="T191" s="2004"/>
      <c r="U191" s="2004"/>
      <c r="V191" s="2004"/>
      <c r="W191" s="2004"/>
      <c r="X191" s="2004"/>
      <c r="Y191" s="2004"/>
      <c r="Z191" s="2004"/>
      <c r="AA191" s="2004"/>
      <c r="AB191" s="2004"/>
      <c r="AC191" s="2170"/>
      <c r="AD191" s="2170"/>
      <c r="AE191" s="2170"/>
      <c r="AF191" s="2170"/>
      <c r="AG191" s="2004"/>
    </row>
    <row r="192" spans="2:33">
      <c r="B192" s="2004"/>
      <c r="C192" s="2004"/>
      <c r="D192" s="2004"/>
      <c r="E192" s="2004"/>
      <c r="F192" s="2004"/>
      <c r="G192" s="2004"/>
      <c r="H192" s="2004"/>
      <c r="I192" s="2004"/>
      <c r="J192" s="2378"/>
      <c r="K192" s="2004"/>
      <c r="L192" s="2004"/>
      <c r="M192" s="2004"/>
      <c r="N192" s="2004"/>
      <c r="O192" s="2004"/>
      <c r="P192" s="2170"/>
      <c r="Q192" s="2004"/>
      <c r="R192" s="2004"/>
      <c r="S192" s="2004"/>
      <c r="T192" s="2004"/>
      <c r="U192" s="2004"/>
      <c r="V192" s="2004"/>
      <c r="W192" s="2004"/>
      <c r="X192" s="2004"/>
      <c r="Y192" s="2004"/>
      <c r="Z192" s="2004"/>
      <c r="AA192" s="2004"/>
      <c r="AB192" s="2004"/>
      <c r="AC192" s="2170"/>
      <c r="AD192" s="2170"/>
      <c r="AE192" s="2170"/>
      <c r="AF192" s="2170"/>
      <c r="AG192" s="2004"/>
    </row>
    <row r="193" spans="2:33">
      <c r="B193" s="2004"/>
      <c r="C193" s="2004"/>
      <c r="D193" s="2004"/>
      <c r="E193" s="2004"/>
      <c r="F193" s="2004"/>
      <c r="G193" s="2004"/>
      <c r="H193" s="2004"/>
      <c r="I193" s="2004"/>
      <c r="J193" s="2378"/>
      <c r="K193" s="2004"/>
      <c r="L193" s="2004"/>
      <c r="M193" s="2004"/>
      <c r="N193" s="2004"/>
      <c r="O193" s="2004"/>
      <c r="P193" s="2170"/>
      <c r="Q193" s="2004"/>
      <c r="R193" s="2004"/>
      <c r="S193" s="2004"/>
      <c r="T193" s="2004"/>
      <c r="U193" s="2004"/>
      <c r="V193" s="2004"/>
      <c r="W193" s="2004"/>
      <c r="X193" s="2004"/>
      <c r="Y193" s="2004"/>
      <c r="Z193" s="2004"/>
      <c r="AA193" s="2004"/>
      <c r="AB193" s="2004"/>
      <c r="AC193" s="2170"/>
      <c r="AD193" s="2170"/>
      <c r="AE193" s="2170"/>
      <c r="AF193" s="2170"/>
      <c r="AG193" s="2004"/>
    </row>
    <row r="194" spans="2:33">
      <c r="B194" s="2004"/>
      <c r="C194" s="2004"/>
      <c r="D194" s="2004"/>
      <c r="E194" s="2004"/>
      <c r="F194" s="2004"/>
      <c r="G194" s="2004"/>
      <c r="H194" s="2004"/>
      <c r="I194" s="2004"/>
      <c r="J194" s="2378"/>
      <c r="K194" s="2004"/>
      <c r="L194" s="2004"/>
      <c r="M194" s="2004"/>
      <c r="N194" s="2004"/>
      <c r="O194" s="2004"/>
      <c r="P194" s="2170"/>
      <c r="Q194" s="2004"/>
      <c r="R194" s="2004"/>
      <c r="S194" s="2004"/>
      <c r="T194" s="2004"/>
      <c r="U194" s="2004"/>
      <c r="V194" s="2004"/>
      <c r="W194" s="2004"/>
      <c r="X194" s="2004"/>
      <c r="Y194" s="2004"/>
      <c r="Z194" s="2004"/>
      <c r="AA194" s="2004"/>
      <c r="AB194" s="2004"/>
      <c r="AC194" s="2170"/>
      <c r="AD194" s="2170"/>
      <c r="AE194" s="2170"/>
      <c r="AF194" s="2170"/>
      <c r="AG194" s="2004"/>
    </row>
    <row r="195" spans="2:33">
      <c r="B195" s="2004"/>
      <c r="C195" s="2004"/>
      <c r="D195" s="2004"/>
      <c r="E195" s="2004"/>
      <c r="F195" s="2004"/>
      <c r="G195" s="2004"/>
      <c r="H195" s="2004"/>
      <c r="I195" s="2004"/>
      <c r="J195" s="2378"/>
      <c r="K195" s="2004"/>
      <c r="L195" s="2004"/>
      <c r="M195" s="2004"/>
      <c r="N195" s="2004"/>
      <c r="O195" s="2004"/>
      <c r="P195" s="2170"/>
      <c r="Q195" s="2004"/>
      <c r="R195" s="2004"/>
      <c r="S195" s="2004"/>
      <c r="T195" s="2004"/>
      <c r="U195" s="2004"/>
      <c r="V195" s="2004"/>
      <c r="W195" s="2004"/>
      <c r="X195" s="2004"/>
      <c r="Y195" s="2004"/>
      <c r="Z195" s="2004"/>
      <c r="AA195" s="2004"/>
      <c r="AB195" s="2004"/>
      <c r="AC195" s="2170"/>
      <c r="AD195" s="2170"/>
      <c r="AE195" s="2170"/>
      <c r="AF195" s="2170"/>
      <c r="AG195" s="2004"/>
    </row>
    <row r="196" spans="2:33">
      <c r="B196" s="2004"/>
      <c r="C196" s="2004"/>
      <c r="D196" s="2004"/>
      <c r="E196" s="2004"/>
      <c r="F196" s="2004"/>
      <c r="G196" s="2004"/>
      <c r="H196" s="2004"/>
      <c r="I196" s="2004"/>
      <c r="J196" s="2378"/>
      <c r="K196" s="2004"/>
      <c r="L196" s="2004"/>
      <c r="M196" s="2004"/>
      <c r="N196" s="2004"/>
      <c r="O196" s="2004"/>
      <c r="P196" s="2170"/>
      <c r="Q196" s="2004"/>
      <c r="R196" s="2004"/>
      <c r="S196" s="2004"/>
      <c r="T196" s="2004"/>
      <c r="U196" s="2004"/>
      <c r="V196" s="2004"/>
      <c r="W196" s="2004"/>
      <c r="X196" s="2004"/>
      <c r="Y196" s="2004"/>
      <c r="Z196" s="2004"/>
      <c r="AA196" s="2004"/>
      <c r="AB196" s="2004"/>
      <c r="AC196" s="2170"/>
      <c r="AD196" s="2170"/>
      <c r="AE196" s="2170"/>
      <c r="AF196" s="2170"/>
      <c r="AG196" s="2004"/>
    </row>
    <row r="197" spans="2:33">
      <c r="B197" s="2004"/>
      <c r="C197" s="2004"/>
      <c r="D197" s="2004"/>
      <c r="E197" s="2004"/>
      <c r="F197" s="2004"/>
      <c r="G197" s="2004"/>
      <c r="H197" s="2004"/>
      <c r="I197" s="2004"/>
      <c r="J197" s="2378"/>
      <c r="K197" s="2004"/>
      <c r="L197" s="2004"/>
      <c r="M197" s="2004"/>
      <c r="N197" s="2004"/>
      <c r="O197" s="2004"/>
      <c r="P197" s="2170"/>
      <c r="Q197" s="2004"/>
      <c r="R197" s="2004"/>
      <c r="S197" s="2004"/>
      <c r="T197" s="2004"/>
      <c r="U197" s="2004"/>
      <c r="V197" s="2004"/>
      <c r="W197" s="2004"/>
      <c r="X197" s="2004"/>
      <c r="Y197" s="2004"/>
      <c r="Z197" s="2004"/>
      <c r="AA197" s="2004"/>
      <c r="AB197" s="2004"/>
      <c r="AC197" s="2170"/>
      <c r="AD197" s="2170"/>
      <c r="AE197" s="2170"/>
      <c r="AF197" s="2170"/>
      <c r="AG197" s="2004"/>
    </row>
    <row r="198" spans="2:33">
      <c r="B198" s="2004"/>
      <c r="C198" s="2004"/>
      <c r="D198" s="2004"/>
      <c r="E198" s="2004"/>
      <c r="F198" s="2004"/>
      <c r="G198" s="2004"/>
      <c r="H198" s="2004"/>
      <c r="I198" s="2004"/>
      <c r="J198" s="2378"/>
      <c r="K198" s="2004"/>
      <c r="L198" s="2004"/>
      <c r="M198" s="2004"/>
      <c r="N198" s="2004"/>
      <c r="O198" s="2004"/>
      <c r="P198" s="2170"/>
      <c r="Q198" s="2004"/>
      <c r="R198" s="2004"/>
      <c r="S198" s="2004"/>
      <c r="T198" s="2004"/>
      <c r="U198" s="2004"/>
      <c r="V198" s="2004"/>
      <c r="W198" s="2004"/>
      <c r="X198" s="2004"/>
      <c r="Y198" s="2004"/>
      <c r="Z198" s="2004"/>
      <c r="AA198" s="2004"/>
      <c r="AB198" s="2004"/>
      <c r="AC198" s="2170"/>
      <c r="AD198" s="2170"/>
      <c r="AE198" s="2170"/>
      <c r="AF198" s="2170"/>
      <c r="AG198" s="2004"/>
    </row>
    <row r="199" spans="2:33">
      <c r="B199" s="2004"/>
      <c r="C199" s="2004"/>
      <c r="D199" s="2004"/>
      <c r="E199" s="2004"/>
      <c r="F199" s="2004"/>
      <c r="G199" s="2004"/>
      <c r="H199" s="2004"/>
      <c r="I199" s="2004"/>
      <c r="J199" s="2378"/>
      <c r="K199" s="2004"/>
      <c r="L199" s="2004"/>
      <c r="M199" s="2004"/>
      <c r="N199" s="2004"/>
      <c r="O199" s="2004"/>
      <c r="P199" s="2170"/>
      <c r="Q199" s="2004"/>
      <c r="R199" s="2004"/>
      <c r="S199" s="2004"/>
      <c r="T199" s="2004"/>
      <c r="U199" s="2004"/>
      <c r="V199" s="2004"/>
      <c r="W199" s="2004"/>
      <c r="X199" s="2004"/>
      <c r="Y199" s="2004"/>
      <c r="Z199" s="2004"/>
      <c r="AA199" s="2004"/>
      <c r="AB199" s="2004"/>
      <c r="AC199" s="2170"/>
      <c r="AD199" s="2170"/>
      <c r="AE199" s="2170"/>
      <c r="AF199" s="2170"/>
      <c r="AG199" s="2004"/>
    </row>
    <row r="200" spans="2:33">
      <c r="B200" s="2004"/>
      <c r="C200" s="2004"/>
      <c r="D200" s="2004"/>
      <c r="E200" s="2004"/>
      <c r="F200" s="2004"/>
      <c r="G200" s="2004"/>
      <c r="H200" s="2004"/>
      <c r="I200" s="2004"/>
      <c r="J200" s="2378"/>
      <c r="K200" s="2004"/>
      <c r="L200" s="2004"/>
      <c r="M200" s="2004"/>
      <c r="N200" s="2004"/>
      <c r="O200" s="2004"/>
      <c r="P200" s="2170"/>
      <c r="Q200" s="2004"/>
      <c r="R200" s="2004"/>
      <c r="S200" s="2004"/>
      <c r="T200" s="2004"/>
      <c r="U200" s="2004"/>
      <c r="V200" s="2004"/>
      <c r="W200" s="2004"/>
      <c r="X200" s="2004"/>
      <c r="Y200" s="2004"/>
      <c r="Z200" s="2004"/>
      <c r="AA200" s="2004"/>
      <c r="AB200" s="2004"/>
      <c r="AC200" s="2170"/>
      <c r="AD200" s="2170"/>
      <c r="AE200" s="2170"/>
      <c r="AF200" s="2170"/>
      <c r="AG200" s="2004"/>
    </row>
    <row r="201" spans="2:33">
      <c r="B201" s="2004"/>
      <c r="C201" s="2004"/>
      <c r="D201" s="2004"/>
      <c r="E201" s="2004"/>
      <c r="F201" s="2004"/>
      <c r="G201" s="2004"/>
      <c r="H201" s="2004"/>
      <c r="I201" s="2004"/>
      <c r="J201" s="2378"/>
      <c r="K201" s="2004"/>
      <c r="L201" s="2004"/>
      <c r="M201" s="2004"/>
      <c r="N201" s="2004"/>
      <c r="O201" s="2004"/>
      <c r="P201" s="2170"/>
      <c r="Q201" s="2004"/>
      <c r="R201" s="2004"/>
      <c r="S201" s="2004"/>
      <c r="T201" s="2004"/>
      <c r="U201" s="2004"/>
      <c r="V201" s="2004"/>
      <c r="W201" s="2004"/>
      <c r="X201" s="2004"/>
      <c r="Y201" s="2004"/>
      <c r="Z201" s="2004"/>
      <c r="AA201" s="2004"/>
      <c r="AB201" s="2004"/>
      <c r="AC201" s="2170"/>
      <c r="AD201" s="2170"/>
      <c r="AE201" s="2170"/>
      <c r="AF201" s="2170"/>
      <c r="AG201" s="2004"/>
    </row>
    <row r="202" spans="2:33">
      <c r="B202" s="2004"/>
      <c r="C202" s="2004"/>
      <c r="D202" s="2004"/>
      <c r="E202" s="2004"/>
      <c r="F202" s="2004"/>
      <c r="G202" s="2004"/>
      <c r="H202" s="2004"/>
      <c r="I202" s="2004"/>
      <c r="J202" s="2378"/>
      <c r="K202" s="2004"/>
      <c r="L202" s="2004"/>
      <c r="M202" s="2004"/>
      <c r="N202" s="2004"/>
      <c r="O202" s="2004"/>
      <c r="P202" s="2170"/>
      <c r="Q202" s="2004"/>
      <c r="R202" s="2004"/>
      <c r="S202" s="2004"/>
      <c r="T202" s="2004"/>
      <c r="U202" s="2004"/>
      <c r="V202" s="2004"/>
      <c r="W202" s="2004"/>
      <c r="X202" s="2004"/>
      <c r="Y202" s="2004"/>
      <c r="Z202" s="2004"/>
      <c r="AA202" s="2004"/>
      <c r="AB202" s="2004"/>
      <c r="AC202" s="2170"/>
      <c r="AD202" s="2170"/>
      <c r="AE202" s="2170"/>
      <c r="AF202" s="2170"/>
      <c r="AG202" s="2004"/>
    </row>
    <row r="203" spans="2:33">
      <c r="B203" s="2004"/>
      <c r="C203" s="2004"/>
      <c r="D203" s="2004"/>
      <c r="E203" s="2004"/>
      <c r="F203" s="2004"/>
      <c r="G203" s="2004"/>
      <c r="H203" s="2004"/>
      <c r="I203" s="2004"/>
      <c r="J203" s="2378"/>
      <c r="K203" s="2004"/>
      <c r="L203" s="2004"/>
      <c r="M203" s="2004"/>
      <c r="N203" s="2004"/>
      <c r="O203" s="2004"/>
      <c r="P203" s="2170"/>
      <c r="Q203" s="2004"/>
      <c r="R203" s="2004"/>
      <c r="S203" s="2004"/>
      <c r="T203" s="2004"/>
      <c r="U203" s="2004"/>
      <c r="V203" s="2004"/>
      <c r="W203" s="2004"/>
      <c r="X203" s="2004"/>
      <c r="Y203" s="2004"/>
      <c r="Z203" s="2004"/>
      <c r="AA203" s="2004"/>
      <c r="AB203" s="2004"/>
      <c r="AC203" s="2170"/>
      <c r="AD203" s="2170"/>
      <c r="AE203" s="2170"/>
      <c r="AF203" s="2170"/>
      <c r="AG203" s="2004"/>
    </row>
    <row r="204" spans="2:33">
      <c r="B204" s="2004"/>
      <c r="C204" s="2004"/>
      <c r="D204" s="2004"/>
      <c r="E204" s="2004"/>
      <c r="F204" s="2004"/>
      <c r="G204" s="2004"/>
      <c r="H204" s="2004"/>
      <c r="I204" s="2004"/>
      <c r="J204" s="2378"/>
      <c r="K204" s="2004"/>
      <c r="L204" s="2004"/>
      <c r="M204" s="2004"/>
      <c r="N204" s="2004"/>
      <c r="O204" s="2004"/>
      <c r="P204" s="2170"/>
      <c r="Q204" s="2004"/>
      <c r="R204" s="2004"/>
      <c r="S204" s="2004"/>
      <c r="T204" s="2004"/>
      <c r="U204" s="2004"/>
      <c r="V204" s="2004"/>
      <c r="W204" s="2004"/>
      <c r="X204" s="2004"/>
      <c r="Y204" s="2004"/>
      <c r="Z204" s="2004"/>
      <c r="AA204" s="2004"/>
      <c r="AB204" s="2004"/>
      <c r="AC204" s="2170"/>
      <c r="AD204" s="2170"/>
      <c r="AE204" s="2170"/>
      <c r="AF204" s="2170"/>
      <c r="AG204" s="2004"/>
    </row>
    <row r="205" spans="2:33">
      <c r="B205" s="2004"/>
      <c r="C205" s="2004"/>
      <c r="D205" s="2004"/>
      <c r="E205" s="2004"/>
      <c r="F205" s="2004"/>
      <c r="G205" s="2004"/>
      <c r="H205" s="2004"/>
      <c r="I205" s="2004"/>
      <c r="J205" s="2378"/>
      <c r="K205" s="2004"/>
      <c r="L205" s="2004"/>
      <c r="M205" s="2004"/>
      <c r="N205" s="2004"/>
      <c r="O205" s="2004"/>
      <c r="P205" s="2170"/>
      <c r="Q205" s="2004"/>
      <c r="R205" s="2004"/>
      <c r="S205" s="2004"/>
      <c r="T205" s="2004"/>
      <c r="U205" s="2004"/>
      <c r="V205" s="2004"/>
      <c r="W205" s="2004"/>
      <c r="X205" s="2004"/>
      <c r="Y205" s="2004"/>
      <c r="Z205" s="2004"/>
      <c r="AA205" s="2004"/>
      <c r="AB205" s="2004"/>
      <c r="AC205" s="2170"/>
      <c r="AD205" s="2170"/>
      <c r="AE205" s="2170"/>
      <c r="AF205" s="2170"/>
      <c r="AG205" s="2004"/>
    </row>
    <row r="206" spans="2:33">
      <c r="B206" s="2004"/>
      <c r="C206" s="2004"/>
      <c r="D206" s="2004"/>
      <c r="E206" s="2004"/>
      <c r="F206" s="2004"/>
      <c r="G206" s="2004"/>
      <c r="H206" s="2004"/>
      <c r="I206" s="2004"/>
      <c r="J206" s="2378"/>
      <c r="K206" s="2004"/>
      <c r="L206" s="2004"/>
      <c r="M206" s="2004"/>
      <c r="N206" s="2004"/>
      <c r="O206" s="2004"/>
      <c r="P206" s="2170"/>
      <c r="Q206" s="2004"/>
      <c r="R206" s="2004"/>
      <c r="S206" s="2004"/>
      <c r="T206" s="2004"/>
      <c r="U206" s="2004"/>
      <c r="V206" s="2004"/>
      <c r="W206" s="2004"/>
      <c r="X206" s="2004"/>
      <c r="Y206" s="2004"/>
      <c r="Z206" s="2004"/>
      <c r="AA206" s="2004"/>
      <c r="AB206" s="2004"/>
      <c r="AC206" s="2170"/>
      <c r="AD206" s="2170"/>
      <c r="AE206" s="2170"/>
      <c r="AF206" s="2170"/>
      <c r="AG206" s="2004"/>
    </row>
    <row r="207" spans="2:33">
      <c r="B207" s="2004"/>
      <c r="C207" s="2004"/>
      <c r="D207" s="2004"/>
      <c r="E207" s="2004"/>
      <c r="F207" s="2004"/>
      <c r="G207" s="2004"/>
      <c r="H207" s="2004"/>
      <c r="I207" s="2004"/>
      <c r="J207" s="2378"/>
      <c r="K207" s="2004"/>
      <c r="L207" s="2004"/>
      <c r="M207" s="2004"/>
      <c r="N207" s="2004"/>
      <c r="O207" s="2004"/>
      <c r="P207" s="2170"/>
      <c r="Q207" s="2004"/>
      <c r="R207" s="2004"/>
      <c r="S207" s="2004"/>
      <c r="T207" s="2004"/>
      <c r="U207" s="2004"/>
      <c r="V207" s="2004"/>
      <c r="W207" s="2004"/>
      <c r="X207" s="2004"/>
      <c r="Y207" s="2004"/>
      <c r="Z207" s="2004"/>
      <c r="AA207" s="2004"/>
      <c r="AB207" s="2004"/>
      <c r="AC207" s="2170"/>
      <c r="AD207" s="2170"/>
      <c r="AE207" s="2170"/>
      <c r="AF207" s="2170"/>
      <c r="AG207" s="2004"/>
    </row>
    <row r="208" spans="2:33">
      <c r="B208" s="2004"/>
      <c r="C208" s="2004"/>
      <c r="D208" s="2004"/>
      <c r="E208" s="2004"/>
      <c r="F208" s="2004"/>
      <c r="G208" s="2004"/>
      <c r="H208" s="2004"/>
      <c r="I208" s="2004"/>
      <c r="J208" s="2378"/>
      <c r="K208" s="2004"/>
      <c r="L208" s="2004"/>
      <c r="M208" s="2004"/>
      <c r="N208" s="2004"/>
      <c r="O208" s="2004"/>
      <c r="P208" s="2170"/>
      <c r="Q208" s="2004"/>
      <c r="R208" s="2004"/>
      <c r="S208" s="2004"/>
      <c r="T208" s="2004"/>
      <c r="U208" s="2004"/>
      <c r="V208" s="2004"/>
      <c r="W208" s="2004"/>
      <c r="X208" s="2004"/>
      <c r="Y208" s="2004"/>
      <c r="Z208" s="2004"/>
      <c r="AA208" s="2004"/>
      <c r="AB208" s="2004"/>
      <c r="AC208" s="2170"/>
      <c r="AD208" s="2170"/>
      <c r="AE208" s="2170"/>
      <c r="AF208" s="2170"/>
      <c r="AG208" s="2004"/>
    </row>
    <row r="209" spans="2:33">
      <c r="B209" s="2004"/>
      <c r="C209" s="2004"/>
      <c r="D209" s="2004"/>
      <c r="E209" s="2004"/>
      <c r="F209" s="2004"/>
      <c r="G209" s="2004"/>
      <c r="H209" s="2004"/>
      <c r="I209" s="2004"/>
      <c r="J209" s="2378"/>
      <c r="K209" s="2004"/>
      <c r="L209" s="2004"/>
      <c r="M209" s="2004"/>
      <c r="N209" s="2004"/>
      <c r="O209" s="2004"/>
      <c r="P209" s="2170"/>
      <c r="Q209" s="2004"/>
      <c r="R209" s="2004"/>
      <c r="S209" s="2004"/>
      <c r="T209" s="2004"/>
      <c r="U209" s="2004"/>
      <c r="V209" s="2004"/>
      <c r="W209" s="2004"/>
      <c r="X209" s="2004"/>
      <c r="Y209" s="2004"/>
      <c r="Z209" s="2004"/>
      <c r="AA209" s="2004"/>
      <c r="AB209" s="2004"/>
      <c r="AC209" s="2170"/>
      <c r="AD209" s="2170"/>
      <c r="AE209" s="2170"/>
      <c r="AF209" s="2170"/>
      <c r="AG209" s="2004"/>
    </row>
    <row r="210" spans="2:33">
      <c r="B210" s="2004"/>
      <c r="C210" s="2004"/>
      <c r="D210" s="2004"/>
      <c r="E210" s="2004"/>
      <c r="F210" s="2004"/>
      <c r="G210" s="2004"/>
      <c r="H210" s="2004"/>
      <c r="I210" s="2004"/>
      <c r="J210" s="2378"/>
      <c r="K210" s="2004"/>
      <c r="L210" s="2004"/>
      <c r="M210" s="2004"/>
      <c r="N210" s="2004"/>
      <c r="O210" s="2004"/>
      <c r="P210" s="2170"/>
      <c r="Q210" s="2004"/>
      <c r="R210" s="2004"/>
      <c r="S210" s="2004"/>
      <c r="T210" s="2004"/>
      <c r="U210" s="2004"/>
      <c r="V210" s="2004"/>
      <c r="W210" s="2004"/>
      <c r="X210" s="2004"/>
      <c r="Y210" s="2004"/>
      <c r="Z210" s="2004"/>
      <c r="AA210" s="2004"/>
      <c r="AB210" s="2004"/>
      <c r="AC210" s="2170"/>
      <c r="AD210" s="2170"/>
      <c r="AE210" s="2170"/>
      <c r="AF210" s="2170"/>
      <c r="AG210" s="2004"/>
    </row>
    <row r="211" spans="2:33">
      <c r="B211" s="2004"/>
      <c r="C211" s="2004"/>
      <c r="D211" s="2004"/>
      <c r="E211" s="2004"/>
      <c r="F211" s="2004"/>
      <c r="G211" s="2004"/>
      <c r="H211" s="2004"/>
      <c r="I211" s="2004"/>
      <c r="J211" s="2378"/>
      <c r="K211" s="2004"/>
      <c r="L211" s="2004"/>
      <c r="M211" s="2004"/>
      <c r="N211" s="2004"/>
      <c r="O211" s="2004"/>
      <c r="P211" s="2170"/>
      <c r="Q211" s="2004"/>
      <c r="R211" s="2004"/>
      <c r="S211" s="2004"/>
      <c r="T211" s="2004"/>
      <c r="U211" s="2004"/>
      <c r="V211" s="2004"/>
      <c r="W211" s="2004"/>
      <c r="X211" s="2004"/>
      <c r="Y211" s="2004"/>
      <c r="Z211" s="2004"/>
      <c r="AA211" s="2004"/>
      <c r="AB211" s="2004"/>
      <c r="AC211" s="2170"/>
      <c r="AD211" s="2170"/>
      <c r="AE211" s="2170"/>
      <c r="AF211" s="2170"/>
      <c r="AG211" s="2004"/>
    </row>
    <row r="212" spans="2:33">
      <c r="B212" s="2004"/>
      <c r="C212" s="2004"/>
      <c r="D212" s="2004"/>
      <c r="E212" s="2004"/>
      <c r="F212" s="2004"/>
      <c r="G212" s="2004"/>
      <c r="H212" s="2004"/>
      <c r="I212" s="2004"/>
      <c r="J212" s="2378"/>
      <c r="K212" s="2004"/>
      <c r="L212" s="2004"/>
      <c r="M212" s="2004"/>
      <c r="N212" s="2004"/>
      <c r="O212" s="2004"/>
      <c r="P212" s="2170"/>
      <c r="Q212" s="2004"/>
      <c r="R212" s="2004"/>
      <c r="S212" s="2004"/>
      <c r="T212" s="2004"/>
      <c r="U212" s="2004"/>
      <c r="V212" s="2004"/>
      <c r="W212" s="2004"/>
      <c r="X212" s="2004"/>
      <c r="Y212" s="2004"/>
      <c r="Z212" s="2004"/>
      <c r="AA212" s="2004"/>
      <c r="AB212" s="2004"/>
      <c r="AC212" s="2170"/>
      <c r="AD212" s="2170"/>
      <c r="AE212" s="2170"/>
      <c r="AF212" s="2170"/>
      <c r="AG212" s="2004"/>
    </row>
    <row r="213" spans="2:33">
      <c r="B213" s="2004"/>
      <c r="C213" s="2004"/>
      <c r="D213" s="2004"/>
      <c r="E213" s="2004"/>
      <c r="F213" s="2004"/>
      <c r="G213" s="2004"/>
      <c r="H213" s="2004"/>
      <c r="I213" s="2004"/>
      <c r="J213" s="2378"/>
      <c r="K213" s="2004"/>
      <c r="L213" s="2004"/>
      <c r="M213" s="2004"/>
      <c r="N213" s="2004"/>
      <c r="O213" s="2004"/>
      <c r="P213" s="2170"/>
      <c r="Q213" s="2004"/>
      <c r="R213" s="2004"/>
      <c r="S213" s="2004"/>
      <c r="T213" s="2004"/>
      <c r="U213" s="2004"/>
      <c r="V213" s="2004"/>
      <c r="W213" s="2004"/>
      <c r="X213" s="2004"/>
      <c r="Y213" s="2004"/>
      <c r="Z213" s="2004"/>
      <c r="AA213" s="2004"/>
      <c r="AB213" s="2004"/>
      <c r="AC213" s="2170"/>
      <c r="AD213" s="2170"/>
      <c r="AE213" s="2170"/>
      <c r="AF213" s="2170"/>
      <c r="AG213" s="2004"/>
    </row>
    <row r="214" spans="2:33">
      <c r="B214" s="2004"/>
      <c r="C214" s="2004"/>
      <c r="D214" s="2004"/>
      <c r="E214" s="2004"/>
      <c r="F214" s="2004"/>
      <c r="G214" s="2004"/>
      <c r="H214" s="2004"/>
      <c r="I214" s="2004"/>
      <c r="J214" s="2378"/>
      <c r="K214" s="2004"/>
      <c r="L214" s="2004"/>
      <c r="M214" s="2004"/>
      <c r="N214" s="2004"/>
      <c r="O214" s="2004"/>
      <c r="P214" s="2170"/>
      <c r="Q214" s="2004"/>
      <c r="R214" s="2004"/>
      <c r="S214" s="2004"/>
      <c r="T214" s="2004"/>
      <c r="U214" s="2004"/>
      <c r="V214" s="2004"/>
      <c r="W214" s="2004"/>
      <c r="X214" s="2004"/>
      <c r="Y214" s="2004"/>
      <c r="Z214" s="2004"/>
      <c r="AA214" s="2004"/>
      <c r="AB214" s="2004"/>
      <c r="AC214" s="2170"/>
      <c r="AD214" s="2170"/>
      <c r="AE214" s="2170"/>
      <c r="AF214" s="2170"/>
      <c r="AG214" s="2004"/>
    </row>
  </sheetData>
  <mergeCells count="1">
    <mergeCell ref="AB8:AK8"/>
  </mergeCells>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8" min="1" max="36" man="1"/>
  </rowBreaks>
  <ignoredErrors>
    <ignoredError sqref="AK130:AK131 AK118:AK119 AK121:AK128 AK17:AK21 AK90:AK91 AK103:AK108 AK68:AK70 AK82 AK93:AK94 AK53:AK57 AK59:AK61 AK32:AK33 AK36:AK41 AK65:AK66 AK111:AK116 AK24:AK30 AK96:AK101 AK44:AK49 AK63" unlockedFormula="1"/>
    <ignoredError sqref="AI20 AK50 D22 AK87:AK88 AK102 AK62 AK42 AK22" formula="1"/>
    <ignoredError sqref="AK76 AK71 AK86 AK73:AK74 AK8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80" workbookViewId="0"/>
  </sheetViews>
  <sheetFormatPr defaultColWidth="8.81640625" defaultRowHeight="15"/>
  <cols>
    <col min="1" max="1" width="1.81640625" style="2001" customWidth="1"/>
    <col min="2" max="2" width="45.453125" style="2001" customWidth="1"/>
    <col min="3" max="3" width="1.81640625" style="2001" customWidth="1"/>
    <col min="4" max="4" width="12.453125" style="2001" bestFit="1" customWidth="1"/>
    <col min="5" max="5" width="1.81640625" style="2484" customWidth="1"/>
    <col min="6" max="6" width="12.08984375" style="2001" bestFit="1" customWidth="1"/>
    <col min="7" max="7" width="1.81640625" style="2484" customWidth="1"/>
    <col min="8" max="8" width="15" style="2001" customWidth="1"/>
    <col min="9" max="9" width="1.81640625" style="2484" customWidth="1"/>
    <col min="10" max="10" width="16.08984375" style="2001" customWidth="1"/>
    <col min="11" max="11" width="1.81640625" style="2484" customWidth="1"/>
    <col min="12" max="12" width="13.453125" style="2001" customWidth="1"/>
    <col min="13" max="13" width="1.81640625" style="2484" customWidth="1"/>
    <col min="14" max="14" width="14.08984375" style="2001" customWidth="1"/>
    <col min="15" max="15" width="1.81640625" style="2484" customWidth="1"/>
    <col min="16" max="16" width="14.08984375" style="2001" customWidth="1"/>
    <col min="17" max="17" width="1.81640625" style="2484" customWidth="1"/>
    <col min="18" max="18" width="14.08984375" style="2001" customWidth="1"/>
    <col min="19" max="19" width="1.81640625" style="2484" customWidth="1"/>
    <col min="20" max="20" width="14.08984375" style="2163" customWidth="1"/>
    <col min="21" max="21" width="1.81640625" style="2484" customWidth="1"/>
    <col min="22" max="22" width="14.08984375" style="2001" customWidth="1"/>
    <col min="23" max="23" width="1.81640625" style="2484" customWidth="1"/>
    <col min="24" max="24" width="14.08984375" style="2001" customWidth="1"/>
    <col min="25" max="25" width="1.81640625" style="2484" customWidth="1"/>
    <col min="26" max="26" width="14.08984375" style="2001" customWidth="1"/>
    <col min="27" max="27" width="1.81640625" style="2001" customWidth="1"/>
    <col min="28" max="28" width="14.08984375" style="2001" bestFit="1" customWidth="1"/>
    <col min="29" max="29" width="1.81640625" style="2001" customWidth="1"/>
    <col min="30" max="30" width="12.54296875" style="2163" bestFit="1" customWidth="1"/>
    <col min="31" max="31" width="1.453125" style="2163" customWidth="1"/>
    <col min="32" max="32" width="1.08984375" style="2163" customWidth="1"/>
    <col min="33" max="33" width="12.54296875" style="2163" bestFit="1" customWidth="1"/>
    <col min="34" max="34" width="0.81640625" style="2163" customWidth="1"/>
    <col min="35" max="35" width="0.81640625" style="2001" customWidth="1"/>
    <col min="36" max="36" width="12.81640625" style="2001" customWidth="1"/>
    <col min="37" max="37" width="0.81640625" style="2001" customWidth="1"/>
    <col min="38" max="38" width="11.81640625" style="1417" bestFit="1" customWidth="1"/>
    <col min="39" max="16384" width="8.81640625" style="2001"/>
  </cols>
  <sheetData>
    <row r="1" spans="1:43">
      <c r="B1" s="2210" t="s">
        <v>881</v>
      </c>
    </row>
    <row r="2" spans="1:43" ht="15.6">
      <c r="A2" s="2481"/>
      <c r="N2" s="2382"/>
    </row>
    <row r="3" spans="1:43" s="2163" customFormat="1" ht="17.399999999999999">
      <c r="A3" s="3048"/>
      <c r="B3" s="3049" t="s">
        <v>0</v>
      </c>
      <c r="E3" s="2496"/>
      <c r="G3" s="2496"/>
      <c r="I3" s="2496"/>
      <c r="K3" s="2496"/>
      <c r="M3" s="2496"/>
      <c r="N3" s="2507"/>
      <c r="O3" s="2496"/>
      <c r="Q3" s="2496"/>
      <c r="S3" s="2496"/>
      <c r="U3" s="2496"/>
      <c r="W3" s="2496"/>
      <c r="Y3" s="2496"/>
      <c r="AE3" s="3050"/>
      <c r="AF3" s="3050"/>
      <c r="AG3" s="3050"/>
      <c r="AH3" s="3050"/>
      <c r="AI3" s="3050"/>
      <c r="AJ3" s="3050"/>
      <c r="AK3" s="3050"/>
      <c r="AL3" s="3051" t="s">
        <v>167</v>
      </c>
    </row>
    <row r="4" spans="1:43" s="2163" customFormat="1" ht="17.399999999999999">
      <c r="A4" s="3048"/>
      <c r="B4" s="3049" t="s">
        <v>1076</v>
      </c>
      <c r="E4" s="2496"/>
      <c r="G4" s="2496"/>
      <c r="I4" s="2496"/>
      <c r="K4" s="2496"/>
      <c r="L4" s="2507"/>
      <c r="M4" s="2496"/>
      <c r="O4" s="2496"/>
      <c r="Q4" s="2496"/>
      <c r="S4" s="2496"/>
      <c r="U4" s="2496"/>
      <c r="W4" s="2496"/>
      <c r="Y4" s="2496"/>
      <c r="AL4" s="3052"/>
    </row>
    <row r="5" spans="1:43" s="2163" customFormat="1" ht="17.399999999999999">
      <c r="A5" s="3048"/>
      <c r="B5" s="1458" t="s">
        <v>147</v>
      </c>
      <c r="E5" s="2496"/>
      <c r="G5" s="2496"/>
      <c r="I5" s="2496"/>
      <c r="K5" s="2496"/>
      <c r="L5" s="2420"/>
      <c r="M5" s="2496"/>
      <c r="O5" s="2496"/>
      <c r="Q5" s="2496"/>
      <c r="S5" s="2496"/>
      <c r="U5" s="2496"/>
      <c r="W5" s="2496"/>
      <c r="X5" s="2169"/>
      <c r="Y5" s="2496"/>
      <c r="AL5" s="3052"/>
    </row>
    <row r="6" spans="1:43" s="2163" customFormat="1" ht="21">
      <c r="A6" s="3048"/>
      <c r="B6" s="1458" t="str">
        <f>'Cashflow Governmental'!A6</f>
        <v xml:space="preserve">FISCAL YEAR 2021-2022   </v>
      </c>
      <c r="E6" s="2496"/>
      <c r="G6" s="2496"/>
      <c r="I6" s="2496"/>
      <c r="K6" s="2496"/>
      <c r="L6" s="2420"/>
      <c r="M6" s="2496"/>
      <c r="O6" s="2496"/>
      <c r="Q6" s="2496"/>
      <c r="S6" s="2496"/>
      <c r="T6" s="3052" t="s">
        <v>14</v>
      </c>
      <c r="U6" s="2496"/>
      <c r="W6" s="2496"/>
      <c r="Y6" s="2496"/>
      <c r="AL6" s="3053"/>
    </row>
    <row r="7" spans="1:43" s="2163" customFormat="1" ht="17.399999999999999">
      <c r="A7" s="3048"/>
      <c r="B7" s="3049" t="s">
        <v>1265</v>
      </c>
      <c r="E7" s="2496"/>
      <c r="G7" s="2496"/>
      <c r="I7" s="2496"/>
      <c r="K7" s="2496"/>
      <c r="M7" s="2496"/>
      <c r="O7" s="2496"/>
      <c r="Q7" s="2496"/>
      <c r="S7" s="2496"/>
      <c r="U7" s="2496"/>
      <c r="W7" s="2496"/>
      <c r="Y7" s="2496"/>
      <c r="AI7" s="2420"/>
      <c r="AJ7" s="2420"/>
      <c r="AK7" s="2420"/>
      <c r="AL7" s="2459"/>
    </row>
    <row r="8" spans="1:43">
      <c r="A8" s="2481"/>
      <c r="L8" s="2023"/>
      <c r="N8" s="2023"/>
      <c r="AC8" s="2023"/>
      <c r="AD8" s="2420"/>
      <c r="AE8" s="2420"/>
      <c r="AF8" s="2420"/>
      <c r="AG8" s="2420"/>
      <c r="AH8" s="2420"/>
      <c r="AI8" s="2023"/>
      <c r="AJ8" s="2023"/>
      <c r="AK8" s="2023"/>
      <c r="AL8" s="2424"/>
    </row>
    <row r="9" spans="1:43" s="2004" customFormat="1" ht="19.5" customHeight="1">
      <c r="A9" s="2377"/>
      <c r="D9" s="2004" t="s">
        <v>14</v>
      </c>
      <c r="E9" s="798" t="s">
        <v>14</v>
      </c>
      <c r="G9" s="2484"/>
      <c r="I9" s="2484"/>
      <c r="K9" s="2484"/>
      <c r="L9" s="2485"/>
      <c r="M9" s="2484"/>
      <c r="N9" s="2485"/>
      <c r="O9" s="2484"/>
      <c r="Q9" s="2484"/>
      <c r="S9" s="2484"/>
      <c r="T9" s="2170"/>
      <c r="U9" s="2484"/>
      <c r="W9" s="2484"/>
      <c r="Y9" s="2484"/>
      <c r="AB9" s="2396" t="s">
        <v>1166</v>
      </c>
      <c r="AC9" s="3976" t="s">
        <v>1572</v>
      </c>
      <c r="AD9" s="3976"/>
      <c r="AE9" s="3976"/>
      <c r="AF9" s="3976"/>
      <c r="AG9" s="3976"/>
      <c r="AH9" s="3976"/>
      <c r="AI9" s="3976"/>
      <c r="AJ9" s="3976"/>
      <c r="AK9" s="3976"/>
      <c r="AL9" s="3976"/>
    </row>
    <row r="10" spans="1:43" ht="15.6">
      <c r="A10" s="2481"/>
      <c r="D10" s="2486" t="str">
        <f>'Cashflow Governmental'!C13</f>
        <v>2021</v>
      </c>
      <c r="F10" s="2382"/>
      <c r="H10" s="2382"/>
      <c r="J10" s="2382"/>
      <c r="L10" s="2382"/>
      <c r="N10" s="2382"/>
      <c r="P10" s="2382"/>
      <c r="R10" s="2382"/>
      <c r="T10" s="2507"/>
      <c r="V10" s="2486">
        <f>'Cashflow Governmental'!U13</f>
        <v>2022</v>
      </c>
      <c r="X10" s="2382"/>
      <c r="Z10" s="2382"/>
      <c r="AA10" s="2382"/>
      <c r="AB10" s="2396" t="s">
        <v>1167</v>
      </c>
      <c r="AC10" s="2382"/>
      <c r="AD10" s="2392"/>
      <c r="AE10" s="2392"/>
      <c r="AF10" s="2392"/>
      <c r="AG10" s="2392"/>
      <c r="AH10" s="2392"/>
      <c r="AI10" s="2383"/>
      <c r="AJ10" s="2394" t="s">
        <v>7</v>
      </c>
      <c r="AK10" s="2390"/>
      <c r="AL10" s="2395" t="s">
        <v>8</v>
      </c>
      <c r="AM10" s="2383"/>
      <c r="AN10" s="2383"/>
      <c r="AO10" s="2383"/>
      <c r="AP10" s="2383"/>
      <c r="AQ10" s="2383"/>
    </row>
    <row r="11" spans="1:43" ht="15.6">
      <c r="A11" s="2481"/>
      <c r="D11" s="2396" t="s">
        <v>123</v>
      </c>
      <c r="F11" s="2396" t="s">
        <v>124</v>
      </c>
      <c r="H11" s="2396" t="s">
        <v>125</v>
      </c>
      <c r="J11" s="2396" t="s">
        <v>126</v>
      </c>
      <c r="L11" s="2487" t="s">
        <v>127</v>
      </c>
      <c r="N11" s="2396" t="s">
        <v>142</v>
      </c>
      <c r="P11" s="2396" t="s">
        <v>143</v>
      </c>
      <c r="R11" s="2396" t="s">
        <v>130</v>
      </c>
      <c r="T11" s="3324" t="s">
        <v>131</v>
      </c>
      <c r="V11" s="2396" t="s">
        <v>132</v>
      </c>
      <c r="X11" s="2396" t="s">
        <v>133</v>
      </c>
      <c r="Z11" s="2396" t="s">
        <v>184</v>
      </c>
      <c r="AA11" s="2396"/>
      <c r="AB11" s="2487" t="s">
        <v>1168</v>
      </c>
      <c r="AC11" s="2382"/>
      <c r="AD11" s="2540">
        <f>'Cashflow Governmental'!AB14</f>
        <v>2022</v>
      </c>
      <c r="AE11" s="2507" t="s">
        <v>14</v>
      </c>
      <c r="AF11" s="2510"/>
      <c r="AG11" s="2540">
        <f>'Cashflow Governmental'!AE14</f>
        <v>2021</v>
      </c>
      <c r="AH11" s="3410"/>
      <c r="AI11" s="2383"/>
      <c r="AJ11" s="2401" t="s">
        <v>11</v>
      </c>
      <c r="AK11" s="2383"/>
      <c r="AL11" s="2401" t="s">
        <v>12</v>
      </c>
      <c r="AM11" s="2383"/>
      <c r="AN11" s="2383"/>
      <c r="AO11" s="2383"/>
      <c r="AP11" s="2383"/>
      <c r="AQ11" s="2383"/>
    </row>
    <row r="12" spans="1:43" ht="5.25" customHeight="1">
      <c r="A12" s="2481"/>
      <c r="D12" s="2403"/>
      <c r="F12" s="2403"/>
      <c r="H12" s="2403"/>
      <c r="J12" s="2403"/>
      <c r="L12" s="2403"/>
      <c r="N12" s="2488"/>
      <c r="P12" s="2403"/>
      <c r="R12" s="2403"/>
      <c r="T12" s="2996"/>
      <c r="V12" s="2403"/>
      <c r="X12" s="2403"/>
      <c r="Z12" s="2403"/>
      <c r="AA12" s="2000"/>
      <c r="AD12" s="2996"/>
      <c r="AG12" s="2996"/>
      <c r="AH12" s="2162"/>
      <c r="AI12" s="2489"/>
    </row>
    <row r="13" spans="1:43" ht="15" customHeight="1">
      <c r="A13" s="2023"/>
      <c r="B13" s="2490" t="s">
        <v>1129</v>
      </c>
      <c r="C13" s="2023"/>
      <c r="D13" s="2008">
        <f>'Exhibit G State'!D13+'Exhibit G Federal'!D13</f>
        <v>10669.3</v>
      </c>
      <c r="F13" s="2410">
        <f>D123</f>
        <v>13629.9</v>
      </c>
      <c r="H13" s="2410">
        <f>F123</f>
        <v>26502.7</v>
      </c>
      <c r="J13" s="2410">
        <f>H123</f>
        <v>27116</v>
      </c>
      <c r="L13" s="2410">
        <f>J123</f>
        <v>27281</v>
      </c>
      <c r="N13" s="2410">
        <f>L123</f>
        <v>26700</v>
      </c>
      <c r="P13" s="2410">
        <f>N123</f>
        <v>25622.6</v>
      </c>
      <c r="R13" s="2410">
        <f>P123</f>
        <v>26152.6</v>
      </c>
      <c r="T13" s="2410">
        <f>R123</f>
        <v>25848.2</v>
      </c>
      <c r="V13" s="2410">
        <f>T123</f>
        <v>27203.7</v>
      </c>
      <c r="X13" s="2410"/>
      <c r="Z13" s="2410"/>
      <c r="AA13" s="2410"/>
      <c r="AB13" s="2410">
        <v>0</v>
      </c>
      <c r="AC13" s="2491"/>
      <c r="AD13" s="2008">
        <f>D13</f>
        <v>10669.3</v>
      </c>
      <c r="AE13" s="2008"/>
      <c r="AF13" s="3388"/>
      <c r="AG13" s="2408">
        <f>'Exhibit G State'!AG13+'Exhibit G Federal'!AG13</f>
        <v>6312.1</v>
      </c>
      <c r="AH13" s="3411"/>
      <c r="AI13" s="1998"/>
      <c r="AJ13" s="2492">
        <f>AD13-AG13</f>
        <v>4357.1999999999989</v>
      </c>
      <c r="AK13" s="2493"/>
      <c r="AL13" s="2445">
        <f>(AD13-AG13)/AG13</f>
        <v>0.69029324630471611</v>
      </c>
      <c r="AM13" s="2003"/>
      <c r="AN13" s="2003"/>
      <c r="AO13" s="2003"/>
      <c r="AP13" s="2003"/>
      <c r="AQ13" s="2003"/>
    </row>
    <row r="14" spans="1:43" ht="15" customHeight="1">
      <c r="A14" s="2023"/>
      <c r="B14" s="2023"/>
      <c r="C14" s="2023"/>
      <c r="AC14" s="2494"/>
      <c r="AF14" s="3389"/>
      <c r="AH14" s="3412"/>
      <c r="AI14" s="2000"/>
      <c r="AL14" s="1416"/>
    </row>
    <row r="15" spans="1:43" ht="15" customHeight="1">
      <c r="A15" s="2023"/>
      <c r="B15" s="2382" t="s">
        <v>13</v>
      </c>
      <c r="C15" s="2023"/>
      <c r="D15" s="1985"/>
      <c r="F15" s="1985"/>
      <c r="H15" s="1985"/>
      <c r="J15" s="1985"/>
      <c r="L15" s="1985"/>
      <c r="N15" s="1985"/>
      <c r="P15" s="1985"/>
      <c r="R15" s="1985"/>
      <c r="T15" s="1974"/>
      <c r="V15" s="1985"/>
      <c r="X15" s="1985"/>
      <c r="Z15" s="1985"/>
      <c r="AA15" s="1985"/>
      <c r="AB15" s="1985"/>
      <c r="AC15" s="2016"/>
      <c r="AD15" s="1974"/>
      <c r="AE15" s="1974"/>
      <c r="AF15" s="2018"/>
      <c r="AG15" s="1974"/>
      <c r="AH15" s="3413"/>
      <c r="AI15" s="1986"/>
      <c r="AJ15" s="1985"/>
      <c r="AL15" s="1416"/>
    </row>
    <row r="16" spans="1:43" ht="15" customHeight="1">
      <c r="A16" s="2023"/>
      <c r="B16" s="2417" t="s">
        <v>991</v>
      </c>
      <c r="C16" s="2023"/>
      <c r="D16" s="1985"/>
      <c r="F16" s="1985"/>
      <c r="H16" s="1985"/>
      <c r="J16" s="1985"/>
      <c r="L16" s="1985"/>
      <c r="N16" s="1985"/>
      <c r="P16" s="1985"/>
      <c r="R16" s="1985"/>
      <c r="T16" s="1974"/>
      <c r="V16" s="1985"/>
      <c r="X16" s="1985"/>
      <c r="Z16" s="1985"/>
      <c r="AA16" s="1985"/>
      <c r="AB16" s="1985"/>
      <c r="AC16" s="2016"/>
      <c r="AD16" s="1974"/>
      <c r="AE16" s="1974"/>
      <c r="AF16" s="2018"/>
      <c r="AG16" s="1974"/>
      <c r="AH16" s="3413"/>
      <c r="AI16" s="1986"/>
      <c r="AJ16" s="1985"/>
      <c r="AL16" s="1416"/>
    </row>
    <row r="17" spans="1:38" s="2383" customFormat="1" ht="15" customHeight="1">
      <c r="A17" s="2382"/>
      <c r="B17" s="2495" t="s">
        <v>994</v>
      </c>
      <c r="C17" s="2382"/>
      <c r="D17" s="1979">
        <f>'Exhibit G State'!D17</f>
        <v>0</v>
      </c>
      <c r="E17" s="1427"/>
      <c r="F17" s="1979">
        <f>'Exhibit G State'!F17</f>
        <v>0</v>
      </c>
      <c r="G17" s="1427"/>
      <c r="H17" s="1979">
        <f>'Exhibit G State'!H17</f>
        <v>0</v>
      </c>
      <c r="I17" s="2484"/>
      <c r="J17" s="1979">
        <f>'Exhibit G State'!J17</f>
        <v>0</v>
      </c>
      <c r="K17" s="2496"/>
      <c r="L17" s="1979">
        <f>'Exhibit G State'!L17</f>
        <v>0</v>
      </c>
      <c r="M17" s="2496"/>
      <c r="N17" s="1979">
        <f>'Exhibit G State'!N17</f>
        <v>0</v>
      </c>
      <c r="O17" s="2496"/>
      <c r="P17" s="1979">
        <f>'Exhibit G State'!P17</f>
        <v>1.2</v>
      </c>
      <c r="Q17" s="2496"/>
      <c r="R17" s="1979">
        <f>'Exhibit G State'!R17</f>
        <v>0.8</v>
      </c>
      <c r="S17" s="2496"/>
      <c r="T17" s="1979">
        <f>'Exhibit G State'!T17</f>
        <v>14.100000000000001</v>
      </c>
      <c r="U17" s="2496"/>
      <c r="V17" s="1979">
        <f>'Exhibit G State'!V17</f>
        <v>1850</v>
      </c>
      <c r="W17" s="2496"/>
      <c r="X17" s="1979"/>
      <c r="Y17" s="2496"/>
      <c r="Z17" s="1979"/>
      <c r="AA17" s="1979"/>
      <c r="AB17" s="1427">
        <v>0</v>
      </c>
      <c r="AC17" s="2491"/>
      <c r="AD17" s="1979">
        <f>ROUND(SUM(D17:Z17),1)</f>
        <v>1866.1</v>
      </c>
      <c r="AE17" s="1979"/>
      <c r="AF17" s="1980"/>
      <c r="AG17" s="2011">
        <f>'Exhibit G State'!AG17</f>
        <v>2008.6</v>
      </c>
      <c r="AH17" s="3414"/>
      <c r="AI17" s="2432"/>
      <c r="AJ17" s="1427">
        <f>ROUND(SUM(+AD17-AG17),1)</f>
        <v>-142.5</v>
      </c>
      <c r="AK17" s="2497"/>
      <c r="AL17" s="1422">
        <f>ROUND(IF(AG17=0,0,AJ17/ABS(AG17)),3)</f>
        <v>-7.0999999999999994E-2</v>
      </c>
    </row>
    <row r="18" spans="1:38" s="2383" customFormat="1" ht="6" customHeight="1">
      <c r="A18" s="2382"/>
      <c r="B18" s="2495"/>
      <c r="C18" s="2382"/>
      <c r="D18" s="2498"/>
      <c r="E18" s="2484"/>
      <c r="F18" s="2498"/>
      <c r="G18" s="2484"/>
      <c r="H18" s="2498"/>
      <c r="I18" s="2484"/>
      <c r="J18" s="2498"/>
      <c r="K18" s="2496"/>
      <c r="L18" s="2498"/>
      <c r="M18" s="2496"/>
      <c r="N18" s="2498"/>
      <c r="O18" s="2496"/>
      <c r="P18" s="2498"/>
      <c r="Q18" s="2496"/>
      <c r="R18" s="2498"/>
      <c r="S18" s="2496"/>
      <c r="T18" s="2498"/>
      <c r="U18" s="2496"/>
      <c r="V18" s="2498"/>
      <c r="W18" s="2496"/>
      <c r="X18" s="2498"/>
      <c r="Y18" s="2496"/>
      <c r="Z18" s="2498"/>
      <c r="AA18" s="2498"/>
      <c r="AB18" s="2410"/>
      <c r="AC18" s="2491"/>
      <c r="AD18" s="2005"/>
      <c r="AE18" s="2005"/>
      <c r="AF18" s="3390"/>
      <c r="AG18" s="2007"/>
      <c r="AH18" s="3415"/>
      <c r="AI18" s="2500"/>
      <c r="AJ18" s="2499"/>
      <c r="AK18" s="2497"/>
      <c r="AL18" s="1422"/>
    </row>
    <row r="19" spans="1:38" ht="15" customHeight="1">
      <c r="A19" s="2023"/>
      <c r="B19" s="2495" t="s">
        <v>1050</v>
      </c>
      <c r="C19" s="2023"/>
      <c r="D19" s="1974"/>
      <c r="F19" s="1974"/>
      <c r="H19" s="1974"/>
      <c r="J19" s="1974"/>
      <c r="K19" s="2496"/>
      <c r="L19" s="1974"/>
      <c r="M19" s="2496"/>
      <c r="N19" s="1974"/>
      <c r="O19" s="2496"/>
      <c r="P19" s="1974"/>
      <c r="Q19" s="2496"/>
      <c r="R19" s="1974"/>
      <c r="S19" s="2496"/>
      <c r="T19" s="1974"/>
      <c r="U19" s="2496"/>
      <c r="V19" s="1974"/>
      <c r="W19" s="2496"/>
      <c r="X19" s="1974"/>
      <c r="Y19" s="2496"/>
      <c r="Z19" s="1974"/>
      <c r="AA19" s="1974"/>
      <c r="AB19" s="1985"/>
      <c r="AC19" s="2016"/>
      <c r="AD19" s="2029"/>
      <c r="AE19" s="2029"/>
      <c r="AF19" s="2508"/>
      <c r="AG19" s="2029"/>
      <c r="AH19" s="3416"/>
      <c r="AI19" s="1428"/>
      <c r="AJ19" s="1445"/>
      <c r="AK19" s="2383"/>
      <c r="AL19" s="2445"/>
    </row>
    <row r="20" spans="1:38" ht="15" customHeight="1">
      <c r="A20" s="2023"/>
      <c r="B20" s="2501" t="s">
        <v>1006</v>
      </c>
      <c r="C20" s="2023"/>
      <c r="D20" s="1979">
        <f>'Exhibit G State'!D20</f>
        <v>109.2</v>
      </c>
      <c r="E20" s="1427"/>
      <c r="F20" s="1979">
        <f>'Exhibit G State'!F20</f>
        <v>80.499999999999986</v>
      </c>
      <c r="G20" s="1427"/>
      <c r="H20" s="1979">
        <f>'Exhibit G State'!H20</f>
        <v>101.60000000000004</v>
      </c>
      <c r="J20" s="1979">
        <f>'Exhibit G State'!J20</f>
        <v>86.899999999999963</v>
      </c>
      <c r="K20" s="2496"/>
      <c r="L20" s="1979">
        <f>'Exhibit G State'!L20</f>
        <v>83.300000000000026</v>
      </c>
      <c r="M20" s="2496"/>
      <c r="N20" s="1979">
        <f>'Exhibit G State'!N20</f>
        <v>108.99999999999999</v>
      </c>
      <c r="O20" s="2496"/>
      <c r="P20" s="1979">
        <f>'Exhibit G State'!P20</f>
        <v>86.299999999999912</v>
      </c>
      <c r="Q20" s="2496"/>
      <c r="R20" s="1979">
        <f>'Exhibit G State'!R20</f>
        <v>89.600000000000009</v>
      </c>
      <c r="S20" s="2496"/>
      <c r="T20" s="1979">
        <f>'Exhibit G State'!T20</f>
        <v>111.60000000000004</v>
      </c>
      <c r="U20" s="2496"/>
      <c r="V20" s="1979">
        <f>'Exhibit G State'!V20</f>
        <v>96.999999999999986</v>
      </c>
      <c r="W20" s="2496"/>
      <c r="X20" s="1979"/>
      <c r="Y20" s="2496"/>
      <c r="Z20" s="1979"/>
      <c r="AA20" s="1979"/>
      <c r="AB20" s="1985">
        <v>0</v>
      </c>
      <c r="AC20" s="2016"/>
      <c r="AD20" s="1974">
        <f>ROUND(SUM(D20:Z20),1)</f>
        <v>955</v>
      </c>
      <c r="AE20" s="1974"/>
      <c r="AF20" s="2018"/>
      <c r="AG20" s="2011">
        <f>'Exhibit G State'!AG20</f>
        <v>753.2</v>
      </c>
      <c r="AH20" s="3413"/>
      <c r="AI20" s="1986"/>
      <c r="AJ20" s="1427">
        <f t="shared" ref="AJ20:AJ26" si="0">ROUND(SUM(+AD20-AG20),1)</f>
        <v>201.8</v>
      </c>
      <c r="AK20" s="2497"/>
      <c r="AL20" s="1422">
        <f t="shared" ref="AL20:AL25" si="1">ROUND(IF(AG20=0,0,AJ20/ABS(AG20)),3)</f>
        <v>0.26800000000000002</v>
      </c>
    </row>
    <row r="21" spans="1:38" ht="15" customHeight="1">
      <c r="A21" s="2023"/>
      <c r="B21" s="2501" t="s">
        <v>1007</v>
      </c>
      <c r="C21" s="2023"/>
      <c r="D21" s="1979">
        <f>'Exhibit G State'!D21</f>
        <v>-0.2</v>
      </c>
      <c r="E21" s="1427"/>
      <c r="F21" s="1979">
        <f>'Exhibit G State'!F21</f>
        <v>0</v>
      </c>
      <c r="G21" s="1427"/>
      <c r="H21" s="1979">
        <f>'Exhibit G State'!H21</f>
        <v>5.1000000000000005</v>
      </c>
      <c r="J21" s="1979">
        <f>'Exhibit G State'!J21</f>
        <v>0</v>
      </c>
      <c r="K21" s="2496"/>
      <c r="L21" s="1979">
        <f>'Exhibit G State'!L21</f>
        <v>0</v>
      </c>
      <c r="M21" s="2496"/>
      <c r="N21" s="1979">
        <f>'Exhibit G State'!N21</f>
        <v>7.6999999999999984</v>
      </c>
      <c r="O21" s="2496"/>
      <c r="P21" s="1979">
        <f>'Exhibit G State'!P21</f>
        <v>0</v>
      </c>
      <c r="Q21" s="2496"/>
      <c r="R21" s="1979">
        <f>'Exhibit G State'!R21</f>
        <v>-9.9999999999999645E-2</v>
      </c>
      <c r="S21" s="2496"/>
      <c r="T21" s="1979">
        <f>'Exhibit G State'!T21</f>
        <v>6.1999999999999984</v>
      </c>
      <c r="U21" s="2496"/>
      <c r="V21" s="1979">
        <f>'Exhibit G State'!V21</f>
        <v>0</v>
      </c>
      <c r="W21" s="2496"/>
      <c r="X21" s="1979"/>
      <c r="Y21" s="2496"/>
      <c r="Z21" s="1979"/>
      <c r="AA21" s="1979"/>
      <c r="AB21" s="1985">
        <v>0</v>
      </c>
      <c r="AC21" s="2016"/>
      <c r="AD21" s="1974">
        <f>ROUND(SUM(D21:Z21),1)</f>
        <v>18.7</v>
      </c>
      <c r="AE21" s="1974"/>
      <c r="AF21" s="2018"/>
      <c r="AG21" s="2011">
        <f>'Exhibit G State'!AG21</f>
        <v>8.6999999999999993</v>
      </c>
      <c r="AH21" s="3413"/>
      <c r="AI21" s="1986"/>
      <c r="AJ21" s="1427">
        <f t="shared" si="0"/>
        <v>10</v>
      </c>
      <c r="AK21" s="2497"/>
      <c r="AL21" s="1422">
        <f>ROUND(IF(AG21=0,1,AJ21/ABS(AG21)),3)</f>
        <v>1.149</v>
      </c>
    </row>
    <row r="22" spans="1:38" ht="15" customHeight="1">
      <c r="A22" s="2023"/>
      <c r="B22" s="2501" t="s">
        <v>1008</v>
      </c>
      <c r="C22" s="2023"/>
      <c r="D22" s="1979">
        <f>'Exhibit G State'!D22</f>
        <v>69.7</v>
      </c>
      <c r="E22" s="1427"/>
      <c r="F22" s="1979">
        <f>'Exhibit G State'!F22</f>
        <v>51.8</v>
      </c>
      <c r="G22" s="1427"/>
      <c r="H22" s="1979">
        <f>'Exhibit G State'!H22</f>
        <v>64.900000000000006</v>
      </c>
      <c r="J22" s="1979">
        <f>'Exhibit G State'!J22</f>
        <v>59.8</v>
      </c>
      <c r="K22" s="2496"/>
      <c r="L22" s="1979">
        <f>'Exhibit G State'!L22</f>
        <v>62.3</v>
      </c>
      <c r="M22" s="2496"/>
      <c r="N22" s="1979">
        <f>'Exhibit G State'!N22</f>
        <v>56.100000000000023</v>
      </c>
      <c r="O22" s="2496"/>
      <c r="P22" s="1979">
        <f>'Exhibit G State'!P22</f>
        <v>60.7</v>
      </c>
      <c r="Q22" s="2496"/>
      <c r="R22" s="1979">
        <f>'Exhibit G State'!R22</f>
        <v>55.099999999999952</v>
      </c>
      <c r="S22" s="2496"/>
      <c r="T22" s="1979">
        <f>'Exhibit G State'!T22</f>
        <v>56.700000000000045</v>
      </c>
      <c r="U22" s="2496"/>
      <c r="V22" s="1979">
        <f>'Exhibit G State'!V22</f>
        <v>46.199999999999832</v>
      </c>
      <c r="W22" s="2496"/>
      <c r="X22" s="1979"/>
      <c r="Y22" s="2496"/>
      <c r="Z22" s="1979"/>
      <c r="AA22" s="1979"/>
      <c r="AB22" s="1985">
        <v>0</v>
      </c>
      <c r="AC22" s="2016"/>
      <c r="AD22" s="1974">
        <f t="shared" ref="AD22:AD26" si="2">ROUND(SUM(D22:Z22),1)</f>
        <v>583.29999999999995</v>
      </c>
      <c r="AE22" s="1974"/>
      <c r="AF22" s="2018"/>
      <c r="AG22" s="2011">
        <f>'Exhibit G State'!AG22</f>
        <v>617.6</v>
      </c>
      <c r="AH22" s="3413"/>
      <c r="AI22" s="1986"/>
      <c r="AJ22" s="1427">
        <f t="shared" si="0"/>
        <v>-34.299999999999997</v>
      </c>
      <c r="AK22" s="2497"/>
      <c r="AL22" s="1422">
        <f t="shared" si="1"/>
        <v>-5.6000000000000001E-2</v>
      </c>
    </row>
    <row r="23" spans="1:38" ht="15" customHeight="1">
      <c r="A23" s="2023"/>
      <c r="B23" s="2210" t="s">
        <v>1532</v>
      </c>
      <c r="C23" s="2023"/>
      <c r="D23" s="1979">
        <f>'Exhibit G State'!D23</f>
        <v>1.5</v>
      </c>
      <c r="E23" s="1427"/>
      <c r="F23" s="1979">
        <f>'Exhibit G State'!F23</f>
        <v>1.1000000000000001</v>
      </c>
      <c r="G23" s="1427"/>
      <c r="H23" s="1979">
        <f>'Exhibit G State'!H23</f>
        <v>1.1000000000000001</v>
      </c>
      <c r="J23" s="1979">
        <f>'Exhibit G State'!J23</f>
        <v>0.90000000000000036</v>
      </c>
      <c r="K23" s="2496"/>
      <c r="L23" s="1979">
        <f>'Exhibit G State'!L23</f>
        <v>1.0999999999999996</v>
      </c>
      <c r="M23" s="2496"/>
      <c r="N23" s="1979">
        <f>'Exhibit G State'!N23</f>
        <v>0.99999999999999956</v>
      </c>
      <c r="O23" s="2496"/>
      <c r="P23" s="1979">
        <f>'Exhibit G State'!P23</f>
        <v>1.1000000000000001</v>
      </c>
      <c r="Q23" s="2496"/>
      <c r="R23" s="1979">
        <f>'Exhibit G State'!R23</f>
        <v>1.0000000000000018</v>
      </c>
      <c r="S23" s="2496"/>
      <c r="T23" s="1979">
        <f>'Exhibit G State'!T23</f>
        <v>1.1999999999999993</v>
      </c>
      <c r="U23" s="2496"/>
      <c r="V23" s="1979">
        <f>'Exhibit G State'!V23</f>
        <v>1.0999999999999992</v>
      </c>
      <c r="W23" s="2496"/>
      <c r="X23" s="1979"/>
      <c r="Y23" s="2496"/>
      <c r="Z23" s="1979"/>
      <c r="AA23" s="1979"/>
      <c r="AB23" s="1985">
        <v>0</v>
      </c>
      <c r="AC23" s="2016"/>
      <c r="AD23" s="1974">
        <f t="shared" si="2"/>
        <v>11.1</v>
      </c>
      <c r="AE23" s="1974"/>
      <c r="AF23" s="2018"/>
      <c r="AG23" s="2011">
        <f>'Exhibit G State'!AG23</f>
        <v>7.2</v>
      </c>
      <c r="AH23" s="3413"/>
      <c r="AI23" s="1986"/>
      <c r="AJ23" s="1427">
        <f>ROUND(SUM(+AD23-AG23),1)</f>
        <v>3.9</v>
      </c>
      <c r="AK23" s="2497"/>
      <c r="AL23" s="1422">
        <f>ROUND(IF(AG23=0,1,AJ23/ABS(AG23)),3)</f>
        <v>0.54200000000000004</v>
      </c>
    </row>
    <row r="24" spans="1:38" ht="15" customHeight="1">
      <c r="A24" s="2023"/>
      <c r="B24" s="2501" t="s">
        <v>1009</v>
      </c>
      <c r="C24" s="2023"/>
      <c r="D24" s="1979">
        <f>'Exhibit G State'!D24</f>
        <v>7.2</v>
      </c>
      <c r="E24" s="1427"/>
      <c r="F24" s="1979">
        <f>'Exhibit G State'!F24</f>
        <v>8.6000000000000014</v>
      </c>
      <c r="G24" s="1427"/>
      <c r="H24" s="1979">
        <f>'Exhibit G State'!H24</f>
        <v>9.8999999999999986</v>
      </c>
      <c r="J24" s="1979">
        <f>'Exhibit G State'!J24</f>
        <v>9.5000000000000036</v>
      </c>
      <c r="K24" s="2496"/>
      <c r="L24" s="1979">
        <f>'Exhibit G State'!L24</f>
        <v>9.6999999999999922</v>
      </c>
      <c r="M24" s="2496"/>
      <c r="N24" s="1979">
        <f>'Exhibit G State'!N24</f>
        <v>10.200000000000003</v>
      </c>
      <c r="O24" s="2496"/>
      <c r="P24" s="1979">
        <f>'Exhibit G State'!P24</f>
        <v>9.4999999999999929</v>
      </c>
      <c r="Q24" s="2496"/>
      <c r="R24" s="1979">
        <f>'Exhibit G State'!R24</f>
        <v>6.5000000000000036</v>
      </c>
      <c r="S24" s="2496"/>
      <c r="T24" s="1979">
        <f>'Exhibit G State'!T24</f>
        <v>10.100000000000012</v>
      </c>
      <c r="U24" s="2496"/>
      <c r="V24" s="1979">
        <f>'Exhibit G State'!V24</f>
        <v>6.5</v>
      </c>
      <c r="W24" s="2496"/>
      <c r="X24" s="1979"/>
      <c r="Y24" s="2496"/>
      <c r="Z24" s="1979"/>
      <c r="AA24" s="1979"/>
      <c r="AB24" s="1985">
        <v>0</v>
      </c>
      <c r="AC24" s="2016"/>
      <c r="AD24" s="1974">
        <f t="shared" si="2"/>
        <v>87.7</v>
      </c>
      <c r="AE24" s="1974"/>
      <c r="AF24" s="2018"/>
      <c r="AG24" s="2011">
        <f>'Exhibit G State'!AG24</f>
        <v>76.400000000000006</v>
      </c>
      <c r="AH24" s="3413"/>
      <c r="AI24" s="1986"/>
      <c r="AJ24" s="1427">
        <f t="shared" si="0"/>
        <v>11.3</v>
      </c>
      <c r="AK24" s="2497"/>
      <c r="AL24" s="1422">
        <f t="shared" si="1"/>
        <v>0.14799999999999999</v>
      </c>
    </row>
    <row r="25" spans="1:38" ht="15" customHeight="1">
      <c r="A25" s="2023"/>
      <c r="B25" s="2501" t="s">
        <v>1010</v>
      </c>
      <c r="C25" s="2023"/>
      <c r="D25" s="1979">
        <f>'Exhibit G State'!D25</f>
        <v>0</v>
      </c>
      <c r="E25" s="1427"/>
      <c r="F25" s="1979">
        <f>'Exhibit G State'!F25</f>
        <v>0</v>
      </c>
      <c r="G25" s="1427"/>
      <c r="H25" s="1979">
        <f>'Exhibit G State'!H25</f>
        <v>0</v>
      </c>
      <c r="J25" s="1979">
        <f>'Exhibit G State'!J25</f>
        <v>0</v>
      </c>
      <c r="K25" s="2496"/>
      <c r="L25" s="1979">
        <f>'Exhibit G State'!L25</f>
        <v>0</v>
      </c>
      <c r="M25" s="2496"/>
      <c r="N25" s="1979">
        <f>'Exhibit G State'!N25</f>
        <v>0</v>
      </c>
      <c r="O25" s="2496"/>
      <c r="P25" s="1979">
        <f>'Exhibit G State'!P25</f>
        <v>0</v>
      </c>
      <c r="Q25" s="2496"/>
      <c r="R25" s="1979">
        <f>'Exhibit G State'!R25</f>
        <v>0</v>
      </c>
      <c r="S25" s="2496"/>
      <c r="T25" s="1979">
        <f>'Exhibit G State'!T25</f>
        <v>0</v>
      </c>
      <c r="U25" s="2496"/>
      <c r="V25" s="1979">
        <f>'Exhibit G State'!V25</f>
        <v>0</v>
      </c>
      <c r="W25" s="2496"/>
      <c r="X25" s="1979"/>
      <c r="Y25" s="2496"/>
      <c r="Z25" s="1979"/>
      <c r="AA25" s="1979"/>
      <c r="AB25" s="1985">
        <v>0</v>
      </c>
      <c r="AC25" s="2016"/>
      <c r="AD25" s="1974">
        <f t="shared" si="2"/>
        <v>0</v>
      </c>
      <c r="AE25" s="1974"/>
      <c r="AF25" s="2018"/>
      <c r="AG25" s="2011">
        <f>'Exhibit G State'!AG25</f>
        <v>0</v>
      </c>
      <c r="AH25" s="3413"/>
      <c r="AI25" s="1986"/>
      <c r="AJ25" s="1427">
        <f t="shared" si="0"/>
        <v>0</v>
      </c>
      <c r="AK25" s="2497"/>
      <c r="AL25" s="1422">
        <f t="shared" si="1"/>
        <v>0</v>
      </c>
    </row>
    <row r="26" spans="1:38" ht="15" customHeight="1">
      <c r="A26" s="2023"/>
      <c r="B26" s="2501" t="s">
        <v>1011</v>
      </c>
      <c r="C26" s="2023"/>
      <c r="D26" s="1979">
        <f>'Exhibit G State'!D26</f>
        <v>0.1</v>
      </c>
      <c r="E26" s="1427"/>
      <c r="F26" s="1979">
        <f>'Exhibit G State'!F26</f>
        <v>0</v>
      </c>
      <c r="G26" s="1427"/>
      <c r="H26" s="1979">
        <f>'Exhibit G State'!H26</f>
        <v>0</v>
      </c>
      <c r="J26" s="1979">
        <f>'Exhibit G State'!J26</f>
        <v>0.1</v>
      </c>
      <c r="K26" s="2496"/>
      <c r="L26" s="1979">
        <f>'Exhibit G State'!L26</f>
        <v>0</v>
      </c>
      <c r="M26" s="2496"/>
      <c r="N26" s="1979">
        <f>'Exhibit G State'!N26</f>
        <v>9.9999999999999978E-2</v>
      </c>
      <c r="O26" s="2496"/>
      <c r="P26" s="1979">
        <f>'Exhibit G State'!P26</f>
        <v>0.20000000000000007</v>
      </c>
      <c r="Q26" s="2496"/>
      <c r="R26" s="1979">
        <f>'Exhibit G State'!R26</f>
        <v>0.69999999999999984</v>
      </c>
      <c r="S26" s="2496"/>
      <c r="T26" s="1979">
        <f>'Exhibit G State'!T26</f>
        <v>0.29999999999999982</v>
      </c>
      <c r="U26" s="2496"/>
      <c r="V26" s="1979">
        <f>'Exhibit G State'!V26</f>
        <v>0.20000000000000007</v>
      </c>
      <c r="W26" s="2496"/>
      <c r="X26" s="1979"/>
      <c r="Y26" s="2496"/>
      <c r="Z26" s="1979"/>
      <c r="AA26" s="1979"/>
      <c r="AB26" s="1985">
        <v>0</v>
      </c>
      <c r="AC26" s="2016"/>
      <c r="AD26" s="1974">
        <f t="shared" si="2"/>
        <v>1.7</v>
      </c>
      <c r="AE26" s="1974"/>
      <c r="AF26" s="2018"/>
      <c r="AG26" s="2011">
        <f>'Exhibit G State'!AG26</f>
        <v>0.4</v>
      </c>
      <c r="AH26" s="3413"/>
      <c r="AI26" s="1986"/>
      <c r="AJ26" s="1427">
        <f t="shared" si="0"/>
        <v>1.3</v>
      </c>
      <c r="AK26" s="2497"/>
      <c r="AL26" s="1463">
        <f>ROUND(IF(AG26=0,1,AJ26/ABS(AG26)),3)</f>
        <v>3.25</v>
      </c>
    </row>
    <row r="27" spans="1:38" ht="15" customHeight="1">
      <c r="A27" s="2023"/>
      <c r="B27" s="2210" t="s">
        <v>1325</v>
      </c>
      <c r="C27" s="2023"/>
      <c r="D27" s="1979">
        <f>'Exhibit G State'!D27</f>
        <v>0.2</v>
      </c>
      <c r="E27" s="1427"/>
      <c r="F27" s="1979">
        <f>'Exhibit G State'!F27</f>
        <v>0</v>
      </c>
      <c r="G27" s="1427"/>
      <c r="H27" s="1979">
        <f>'Exhibit G State'!H27</f>
        <v>6.6</v>
      </c>
      <c r="J27" s="1979">
        <f>'Exhibit G State'!J27</f>
        <v>0.20000000000000018</v>
      </c>
      <c r="K27" s="2496"/>
      <c r="L27" s="1979">
        <f>'Exhibit G State'!L27</f>
        <v>0</v>
      </c>
      <c r="M27" s="2496"/>
      <c r="N27" s="1979">
        <f>'Exhibit G State'!N27</f>
        <v>7.8000000000000016</v>
      </c>
      <c r="O27" s="2496"/>
      <c r="P27" s="1979">
        <f>'Exhibit G State'!P27</f>
        <v>0</v>
      </c>
      <c r="Q27" s="2496"/>
      <c r="R27" s="1979">
        <f>'Exhibit G State'!R27</f>
        <v>9.9999999999999645E-2</v>
      </c>
      <c r="S27" s="2496"/>
      <c r="T27" s="1979">
        <f>'Exhibit G State'!T27</f>
        <v>7.7</v>
      </c>
      <c r="U27" s="2496"/>
      <c r="V27" s="1979">
        <f>'Exhibit G State'!V27</f>
        <v>9.9999999999997868E-2</v>
      </c>
      <c r="W27" s="2496"/>
      <c r="X27" s="1979"/>
      <c r="Y27" s="2496"/>
      <c r="Z27" s="1979"/>
      <c r="AA27" s="1979"/>
      <c r="AB27" s="1985">
        <v>0</v>
      </c>
      <c r="AC27" s="2016"/>
      <c r="AD27" s="1974">
        <f t="shared" ref="AD27" si="3">ROUND(SUM(D27:Z27),1)</f>
        <v>22.7</v>
      </c>
      <c r="AE27" s="1974"/>
      <c r="AF27" s="2018"/>
      <c r="AG27" s="2011">
        <f>'Exhibit G State'!AG27</f>
        <v>25.5</v>
      </c>
      <c r="AH27" s="3413"/>
      <c r="AI27" s="1986"/>
      <c r="AJ27" s="1427">
        <f t="shared" ref="AJ27" si="4">ROUND(SUM(+AD27-AG27),1)</f>
        <v>-2.8</v>
      </c>
      <c r="AK27" s="2497"/>
      <c r="AL27" s="1463">
        <f>ROUND(IF(AG27=0,1,AJ27/ABS(AG27)),3)</f>
        <v>-0.11</v>
      </c>
    </row>
    <row r="28" spans="1:38" s="2383" customFormat="1" ht="15" customHeight="1">
      <c r="A28" s="2382"/>
      <c r="B28" s="2502" t="s">
        <v>1117</v>
      </c>
      <c r="C28" s="2382"/>
      <c r="D28" s="2012">
        <f>ROUND(SUM(D20:D27),1)</f>
        <v>187.7</v>
      </c>
      <c r="E28" s="2484"/>
      <c r="F28" s="2012">
        <f>ROUND(SUM(F20:F27),1)</f>
        <v>142</v>
      </c>
      <c r="G28" s="2484"/>
      <c r="H28" s="2429">
        <f>ROUND(SUM(H20:H27),1)</f>
        <v>189.2</v>
      </c>
      <c r="I28" s="2484"/>
      <c r="J28" s="2429">
        <f>ROUND(SUM(J20:J27),1)</f>
        <v>157.4</v>
      </c>
      <c r="K28" s="2484"/>
      <c r="L28" s="2012">
        <f>ROUND(SUM(L20:L27),1)</f>
        <v>156.4</v>
      </c>
      <c r="M28" s="2484"/>
      <c r="N28" s="2012">
        <f>ROUND(SUM(N20:N27),1)</f>
        <v>191.9</v>
      </c>
      <c r="O28" s="2484"/>
      <c r="P28" s="2012">
        <f>ROUND(SUM(P20:P27),1)</f>
        <v>157.80000000000001</v>
      </c>
      <c r="Q28" s="2484"/>
      <c r="R28" s="2012">
        <f>ROUND(SUM(R20:R27),1)</f>
        <v>152.9</v>
      </c>
      <c r="S28" s="2484"/>
      <c r="T28" s="2012">
        <f>ROUND(SUM(T20:T27),1)</f>
        <v>193.8</v>
      </c>
      <c r="U28" s="2484"/>
      <c r="V28" s="2012">
        <f>ROUND(SUM(V20:V27),1)</f>
        <v>151.1</v>
      </c>
      <c r="W28" s="2484"/>
      <c r="X28" s="2012">
        <f>ROUND(SUM(X20:X27),1)</f>
        <v>0</v>
      </c>
      <c r="Y28" s="2484"/>
      <c r="Z28" s="2012">
        <f>ROUND(SUM(Z20:Z27),1)</f>
        <v>0</v>
      </c>
      <c r="AA28" s="1428"/>
      <c r="AB28" s="2012">
        <f>ROUND(SUM(AB20:AB27),1)</f>
        <v>0</v>
      </c>
      <c r="AC28" s="2019"/>
      <c r="AD28" s="1996">
        <f>ROUND(SUM(AD20:AD27),1)</f>
        <v>1680.2</v>
      </c>
      <c r="AE28" s="2029"/>
      <c r="AF28" s="2508"/>
      <c r="AG28" s="1996">
        <f>ROUND(SUM(AG20:AG27),1)</f>
        <v>1489</v>
      </c>
      <c r="AH28" s="3416"/>
      <c r="AI28" s="1428"/>
      <c r="AJ28" s="2012">
        <f>ROUND(SUM(AJ20:AJ27),1)</f>
        <v>191.2</v>
      </c>
      <c r="AL28" s="2503">
        <f>ROUND(SUM(+AJ28/AG28),3)</f>
        <v>0.128</v>
      </c>
    </row>
    <row r="29" spans="1:38" ht="15" customHeight="1">
      <c r="A29" s="2023"/>
      <c r="B29" s="2495" t="s">
        <v>1051</v>
      </c>
      <c r="C29" s="2023"/>
      <c r="D29" s="1985"/>
      <c r="F29" s="1985"/>
      <c r="H29" s="1427"/>
      <c r="J29" s="1427"/>
      <c r="L29" s="1985"/>
      <c r="N29" s="1985"/>
      <c r="P29" s="1985"/>
      <c r="R29" s="1985"/>
      <c r="T29" s="1985"/>
      <c r="V29" s="1985"/>
      <c r="X29" s="1985"/>
      <c r="Z29" s="1985"/>
      <c r="AA29" s="1985"/>
      <c r="AB29" s="1985"/>
      <c r="AC29" s="2016"/>
      <c r="AD29" s="1974"/>
      <c r="AE29" s="1974"/>
      <c r="AF29" s="2018"/>
      <c r="AG29" s="1974"/>
      <c r="AH29" s="3413"/>
      <c r="AI29" s="1986"/>
      <c r="AJ29" s="1427"/>
      <c r="AL29" s="1416"/>
    </row>
    <row r="30" spans="1:38" s="2163" customFormat="1" ht="15" customHeight="1">
      <c r="A30" s="2420"/>
      <c r="B30" s="2501" t="s">
        <v>1013</v>
      </c>
      <c r="C30" s="2420"/>
      <c r="D30" s="1974">
        <f>'Exhibit G State'!D30</f>
        <v>154.6</v>
      </c>
      <c r="E30" s="1427"/>
      <c r="F30" s="1974">
        <f>'Exhibit G State'!F30</f>
        <v>39.800000000000011</v>
      </c>
      <c r="G30" s="1427"/>
      <c r="H30" s="1974">
        <f>'Exhibit G State'!H30</f>
        <v>264.3</v>
      </c>
      <c r="I30" s="2484"/>
      <c r="J30" s="1979">
        <f>'Exhibit G State'!J30</f>
        <v>60.399999999999977</v>
      </c>
      <c r="K30" s="2496"/>
      <c r="L30" s="1979">
        <f>'Exhibit G State'!L30</f>
        <v>8.6000000000000227</v>
      </c>
      <c r="M30" s="2496"/>
      <c r="N30" s="1979">
        <f>'Exhibit G State'!N30</f>
        <v>260.7</v>
      </c>
      <c r="O30" s="2496"/>
      <c r="P30" s="1979">
        <f>'Exhibit G State'!P30</f>
        <v>43.5</v>
      </c>
      <c r="Q30" s="2496"/>
      <c r="R30" s="1979">
        <f>'Exhibit G State'!R30</f>
        <v>27.099999999999909</v>
      </c>
      <c r="S30" s="2496"/>
      <c r="T30" s="1979">
        <f>'Exhibit G State'!T30</f>
        <v>247.09999999999997</v>
      </c>
      <c r="U30" s="2496"/>
      <c r="V30" s="1979">
        <f>'Exhibit G State'!V30</f>
        <v>40.200000000000045</v>
      </c>
      <c r="W30" s="2496"/>
      <c r="X30" s="1974"/>
      <c r="Y30" s="2496"/>
      <c r="Z30" s="1974"/>
      <c r="AA30" s="1974"/>
      <c r="AB30" s="1974">
        <v>0</v>
      </c>
      <c r="AC30" s="2018"/>
      <c r="AD30" s="1974">
        <f>ROUND(SUM(D30:Z30),1)</f>
        <v>1146.3</v>
      </c>
      <c r="AE30" s="1974"/>
      <c r="AF30" s="2018"/>
      <c r="AG30" s="1974">
        <f>'Exhibit G State'!AG30</f>
        <v>759.4</v>
      </c>
      <c r="AH30" s="3413"/>
      <c r="AI30" s="1956"/>
      <c r="AJ30" s="1979">
        <f>ROUND(SUM(+AD30-AG30),1)</f>
        <v>386.9</v>
      </c>
      <c r="AK30" s="2504"/>
      <c r="AL30" s="1703">
        <f>ROUND(IF(AG30=0,0,AJ30/ABS(AG30)),3)</f>
        <v>0.50900000000000001</v>
      </c>
    </row>
    <row r="31" spans="1:38" s="2163" customFormat="1" ht="15" customHeight="1">
      <c r="A31" s="2420"/>
      <c r="B31" s="2501" t="s">
        <v>1014</v>
      </c>
      <c r="C31" s="2420"/>
      <c r="D31" s="1974">
        <f>'Exhibit G State'!D31</f>
        <v>19.3</v>
      </c>
      <c r="E31" s="1427"/>
      <c r="F31" s="1974">
        <f>'Exhibit G State'!F31</f>
        <v>0.5</v>
      </c>
      <c r="G31" s="1427"/>
      <c r="H31" s="1974">
        <f>'Exhibit G State'!H31</f>
        <v>18.099999999999998</v>
      </c>
      <c r="I31" s="2484"/>
      <c r="J31" s="1979">
        <f>'Exhibit G State'!J31</f>
        <v>-7.6999999999999993</v>
      </c>
      <c r="K31" s="2496"/>
      <c r="L31" s="1979">
        <f>'Exhibit G State'!L31</f>
        <v>-9.9999999999997868E-2</v>
      </c>
      <c r="M31" s="2496"/>
      <c r="N31" s="1979">
        <f>'Exhibit G State'!N31</f>
        <v>18.899999999999999</v>
      </c>
      <c r="O31" s="2496"/>
      <c r="P31" s="1979">
        <f>'Exhibit G State'!P31</f>
        <v>-0.70000000000000284</v>
      </c>
      <c r="Q31" s="2496"/>
      <c r="R31" s="1979">
        <f>'Exhibit G State'!R31</f>
        <v>0.10000000000000142</v>
      </c>
      <c r="S31" s="2496"/>
      <c r="T31" s="1979">
        <f>'Exhibit G State'!T31</f>
        <v>20.700000000000003</v>
      </c>
      <c r="U31" s="2496"/>
      <c r="V31" s="1979">
        <f>'Exhibit G State'!V31</f>
        <v>-0.5</v>
      </c>
      <c r="W31" s="2496"/>
      <c r="X31" s="1974"/>
      <c r="Y31" s="2496"/>
      <c r="Z31" s="1974"/>
      <c r="AA31" s="1974"/>
      <c r="AB31" s="1974">
        <v>0</v>
      </c>
      <c r="AC31" s="2018"/>
      <c r="AD31" s="1974">
        <f>ROUND(SUM(D31:Z31),1)</f>
        <v>68.599999999999994</v>
      </c>
      <c r="AE31" s="1974"/>
      <c r="AF31" s="2018"/>
      <c r="AG31" s="1974">
        <f>'Exhibit G State'!AG31</f>
        <v>89.8</v>
      </c>
      <c r="AH31" s="3413"/>
      <c r="AI31" s="1956"/>
      <c r="AJ31" s="1979">
        <f>ROUND(SUM(+AD31-AG31),1)</f>
        <v>-21.2</v>
      </c>
      <c r="AK31" s="2504"/>
      <c r="AL31" s="1703">
        <f>ROUND(IF(AG31=0,0,AJ31/ABS(AG31)),3)</f>
        <v>-0.23599999999999999</v>
      </c>
    </row>
    <row r="32" spans="1:38" s="2163" customFormat="1" ht="15" customHeight="1">
      <c r="A32" s="2420"/>
      <c r="B32" s="2501" t="s">
        <v>1015</v>
      </c>
      <c r="C32" s="2420"/>
      <c r="D32" s="1974">
        <f>'Exhibit G State'!D32</f>
        <v>-8.8000000000000007</v>
      </c>
      <c r="E32" s="1427"/>
      <c r="F32" s="1974">
        <f>'Exhibit G State'!F32</f>
        <v>2.5000000000000009</v>
      </c>
      <c r="G32" s="1427"/>
      <c r="H32" s="1974">
        <f>'Exhibit G State'!H32</f>
        <v>44.8</v>
      </c>
      <c r="I32" s="2484"/>
      <c r="J32" s="1979">
        <f>'Exhibit G State'!J32</f>
        <v>2.5</v>
      </c>
      <c r="K32" s="2496"/>
      <c r="L32" s="1979">
        <f>'Exhibit G State'!L32</f>
        <v>4.8000000000000114</v>
      </c>
      <c r="M32" s="2496"/>
      <c r="N32" s="1979">
        <f>'Exhibit G State'!N32</f>
        <v>50.099999999999994</v>
      </c>
      <c r="O32" s="2496"/>
      <c r="P32" s="1979">
        <f>'Exhibit G State'!P32</f>
        <v>8.7000000000000028</v>
      </c>
      <c r="Q32" s="2496"/>
      <c r="R32" s="1979">
        <f>'Exhibit G State'!R32</f>
        <v>3.3999999999999915</v>
      </c>
      <c r="S32" s="2496"/>
      <c r="T32" s="1979">
        <f>'Exhibit G State'!T32</f>
        <v>50.000000000000014</v>
      </c>
      <c r="U32" s="2496"/>
      <c r="V32" s="1979">
        <f>'Exhibit G State'!V32</f>
        <v>-1.7000000000000171</v>
      </c>
      <c r="W32" s="2496"/>
      <c r="X32" s="1974"/>
      <c r="Y32" s="2496"/>
      <c r="Z32" s="1974"/>
      <c r="AA32" s="1974"/>
      <c r="AB32" s="1974">
        <v>0</v>
      </c>
      <c r="AC32" s="2018"/>
      <c r="AD32" s="1974">
        <f>ROUND(SUM(D32:Z32),1)</f>
        <v>156.30000000000001</v>
      </c>
      <c r="AE32" s="1974"/>
      <c r="AF32" s="2018"/>
      <c r="AG32" s="1974">
        <f>'Exhibit G State'!AG32</f>
        <v>136.6</v>
      </c>
      <c r="AH32" s="3413"/>
      <c r="AI32" s="1956"/>
      <c r="AJ32" s="1979">
        <f>ROUND(SUM(+AD32-AG32),1)</f>
        <v>19.7</v>
      </c>
      <c r="AK32" s="2504"/>
      <c r="AL32" s="1708">
        <f>ROUND(IF(AG32=0,0,AJ32/ABS(AG32)),3)</f>
        <v>0.14399999999999999</v>
      </c>
    </row>
    <row r="33" spans="1:38" s="2163" customFormat="1" ht="15" customHeight="1">
      <c r="A33" s="2420"/>
      <c r="B33" s="2501" t="s">
        <v>1016</v>
      </c>
      <c r="C33" s="2420"/>
      <c r="D33" s="1974">
        <f>'Exhibit G State'!D33</f>
        <v>3.1</v>
      </c>
      <c r="E33" s="1427"/>
      <c r="F33" s="1974">
        <f>'Exhibit G State'!F33</f>
        <v>-3</v>
      </c>
      <c r="G33" s="1427"/>
      <c r="H33" s="1974">
        <f>'Exhibit G State'!H33</f>
        <v>3.6999999999999997</v>
      </c>
      <c r="I33" s="2484"/>
      <c r="J33" s="1979">
        <f>'Exhibit G State'!J33</f>
        <v>0</v>
      </c>
      <c r="K33" s="2496"/>
      <c r="L33" s="1979">
        <f>'Exhibit G State'!L33</f>
        <v>0</v>
      </c>
      <c r="M33" s="2496"/>
      <c r="N33" s="1979">
        <f>'Exhibit G State'!N33</f>
        <v>-4.5999999999999996</v>
      </c>
      <c r="O33" s="2496"/>
      <c r="P33" s="1979">
        <f>'Exhibit G State'!P33</f>
        <v>0.5</v>
      </c>
      <c r="Q33" s="2496"/>
      <c r="R33" s="1979">
        <f>'Exhibit G State'!R33</f>
        <v>-9.9999999999999645E-2</v>
      </c>
      <c r="S33" s="2496"/>
      <c r="T33" s="1979">
        <f>'Exhibit G State'!T33</f>
        <v>9.9999999999999645E-2</v>
      </c>
      <c r="U33" s="2496"/>
      <c r="V33" s="1979">
        <f>'Exhibit G State'!V33</f>
        <v>0</v>
      </c>
      <c r="W33" s="2496"/>
      <c r="X33" s="1974"/>
      <c r="Y33" s="2496"/>
      <c r="Z33" s="1974"/>
      <c r="AA33" s="1974"/>
      <c r="AB33" s="1974">
        <v>0</v>
      </c>
      <c r="AC33" s="2018"/>
      <c r="AD33" s="1974">
        <f>ROUND(SUM(D33:Z33),1)</f>
        <v>-0.3</v>
      </c>
      <c r="AE33" s="1974"/>
      <c r="AF33" s="2018"/>
      <c r="AG33" s="1974">
        <f>'Exhibit G State'!AG33</f>
        <v>16.8</v>
      </c>
      <c r="AH33" s="3413"/>
      <c r="AI33" s="1956"/>
      <c r="AJ33" s="1979">
        <f>ROUND(SUM(+AD33-AG33),1)</f>
        <v>-17.100000000000001</v>
      </c>
      <c r="AK33" s="2504"/>
      <c r="AL33" s="1708">
        <f>ROUND(IF(AG33=0,0,AJ33/ABS(AG33)),3)</f>
        <v>-1.018</v>
      </c>
    </row>
    <row r="34" spans="1:38" s="2163" customFormat="1" ht="15" customHeight="1">
      <c r="A34" s="2420"/>
      <c r="B34" s="2501" t="s">
        <v>1017</v>
      </c>
      <c r="C34" s="2420"/>
      <c r="D34" s="1974">
        <f>'Exhibit G State'!D34</f>
        <v>30.7</v>
      </c>
      <c r="E34" s="1427"/>
      <c r="F34" s="1974">
        <f>'Exhibit G State'!F34</f>
        <v>39.799999999999997</v>
      </c>
      <c r="G34" s="1427"/>
      <c r="H34" s="1974">
        <f>'Exhibit G State'!H34</f>
        <v>40.599999999999994</v>
      </c>
      <c r="I34" s="2484"/>
      <c r="J34" s="1979">
        <f>'Exhibit G State'!J34</f>
        <v>43.700000000000017</v>
      </c>
      <c r="K34" s="2496"/>
      <c r="L34" s="1979">
        <f>'Exhibit G State'!L34</f>
        <v>42.2</v>
      </c>
      <c r="M34" s="2496"/>
      <c r="N34" s="1979">
        <f>'Exhibit G State'!N34</f>
        <v>33.799999999999997</v>
      </c>
      <c r="O34" s="2496"/>
      <c r="P34" s="1979">
        <f>'Exhibit G State'!P34</f>
        <v>40.699999999999989</v>
      </c>
      <c r="Q34" s="2496"/>
      <c r="R34" s="1979">
        <f>'Exhibit G State'!R34</f>
        <v>40.5</v>
      </c>
      <c r="S34" s="2496"/>
      <c r="T34" s="1979">
        <f>'Exhibit G State'!T34</f>
        <v>34.000000000000014</v>
      </c>
      <c r="U34" s="2496"/>
      <c r="V34" s="1979">
        <f>'Exhibit G State'!V34</f>
        <v>38.099999999999952</v>
      </c>
      <c r="W34" s="2496"/>
      <c r="X34" s="1974"/>
      <c r="Y34" s="2496"/>
      <c r="Z34" s="1974"/>
      <c r="AA34" s="1974"/>
      <c r="AB34" s="1974">
        <v>0</v>
      </c>
      <c r="AC34" s="2018"/>
      <c r="AD34" s="1974">
        <f>ROUND(SUM(D34:Z34),1)</f>
        <v>384.1</v>
      </c>
      <c r="AE34" s="1974"/>
      <c r="AF34" s="2018"/>
      <c r="AG34" s="1974">
        <f>'Exhibit G State'!AG34</f>
        <v>352.5</v>
      </c>
      <c r="AH34" s="3413"/>
      <c r="AI34" s="1956"/>
      <c r="AJ34" s="1979">
        <f>ROUND(SUM(+AD34-AG34),1)</f>
        <v>31.6</v>
      </c>
      <c r="AK34" s="2504"/>
      <c r="AL34" s="1703">
        <f>ROUND(IF(AG34=0,0,AJ34/ABS(AG34)),3)</f>
        <v>0.09</v>
      </c>
    </row>
    <row r="35" spans="1:38" s="2383" customFormat="1" ht="15" customHeight="1">
      <c r="A35" s="2382"/>
      <c r="B35" s="2502" t="s">
        <v>1118</v>
      </c>
      <c r="C35" s="2382"/>
      <c r="D35" s="2012">
        <f t="shared" ref="D35:F35" si="5">ROUND(SUM(D30:D34),1)</f>
        <v>198.9</v>
      </c>
      <c r="E35" s="2484"/>
      <c r="F35" s="2012">
        <f t="shared" si="5"/>
        <v>79.599999999999994</v>
      </c>
      <c r="G35" s="2484"/>
      <c r="H35" s="2429">
        <f>ROUND(SUM(H30:H34),1)</f>
        <v>371.5</v>
      </c>
      <c r="I35" s="2484"/>
      <c r="J35" s="2429">
        <f>ROUND(SUM(J30:J34),1)</f>
        <v>98.9</v>
      </c>
      <c r="K35" s="2484"/>
      <c r="L35" s="2012">
        <f t="shared" ref="L35:V35" si="6">ROUND(SUM(L30:L34),1)</f>
        <v>55.5</v>
      </c>
      <c r="M35" s="2484"/>
      <c r="N35" s="2012">
        <f t="shared" ref="N35:P35" si="7">ROUND(SUM(N30:N34),1)</f>
        <v>358.9</v>
      </c>
      <c r="O35" s="2484"/>
      <c r="P35" s="2012">
        <f t="shared" si="7"/>
        <v>92.7</v>
      </c>
      <c r="Q35" s="2484"/>
      <c r="R35" s="2012">
        <f t="shared" ref="R35:T35" si="8">ROUND(SUM(R30:R34),1)</f>
        <v>71</v>
      </c>
      <c r="S35" s="2484"/>
      <c r="T35" s="2012">
        <f t="shared" si="8"/>
        <v>351.9</v>
      </c>
      <c r="U35" s="2484"/>
      <c r="V35" s="2012">
        <f t="shared" si="6"/>
        <v>76.099999999999994</v>
      </c>
      <c r="W35" s="2484"/>
      <c r="X35" s="2012">
        <f t="shared" ref="X35:Z35" si="9">ROUND(SUM(X30:X34),1)</f>
        <v>0</v>
      </c>
      <c r="Y35" s="2484"/>
      <c r="Z35" s="2012">
        <f t="shared" si="9"/>
        <v>0</v>
      </c>
      <c r="AA35" s="1428"/>
      <c r="AB35" s="2012">
        <f>SUM(AB30:AB34)</f>
        <v>0</v>
      </c>
      <c r="AC35" s="2019"/>
      <c r="AD35" s="1996">
        <f>ROUND(SUM(AD30:AD34),1)</f>
        <v>1755</v>
      </c>
      <c r="AE35" s="2029"/>
      <c r="AF35" s="2508"/>
      <c r="AG35" s="1996">
        <f>ROUND(SUM(AG30:AG34),1)</f>
        <v>1355.1</v>
      </c>
      <c r="AH35" s="3416"/>
      <c r="AI35" s="1428"/>
      <c r="AJ35" s="2012">
        <f>ROUND(SUM(AJ30:AJ34),1)</f>
        <v>399.9</v>
      </c>
      <c r="AL35" s="1418">
        <f>ROUND(SUM(+AJ35/AG35),3)</f>
        <v>0.29499999999999998</v>
      </c>
    </row>
    <row r="36" spans="1:38" ht="15" customHeight="1">
      <c r="A36" s="2023"/>
      <c r="B36" s="2505"/>
      <c r="C36" s="2023"/>
      <c r="D36" s="1986"/>
      <c r="F36" s="1986"/>
      <c r="H36" s="2432"/>
      <c r="J36" s="2432"/>
      <c r="L36" s="1986"/>
      <c r="N36" s="1986"/>
      <c r="P36" s="1986"/>
      <c r="R36" s="1986"/>
      <c r="T36" s="1986"/>
      <c r="V36" s="1986"/>
      <c r="X36" s="1986"/>
      <c r="Z36" s="1986"/>
      <c r="AA36" s="1986"/>
      <c r="AB36" s="1985"/>
      <c r="AC36" s="2016"/>
      <c r="AD36" s="1956"/>
      <c r="AE36" s="1974"/>
      <c r="AF36" s="2018"/>
      <c r="AG36" s="1956"/>
      <c r="AH36" s="3413"/>
      <c r="AI36" s="1986"/>
      <c r="AJ36" s="2432"/>
      <c r="AK36" s="2000"/>
      <c r="AL36" s="1431"/>
    </row>
    <row r="37" spans="1:38" ht="15" customHeight="1">
      <c r="A37" s="2023"/>
      <c r="B37" s="2502" t="s">
        <v>1119</v>
      </c>
      <c r="C37" s="2023"/>
      <c r="D37" s="2031">
        <f>ROUND(SUM(D17+D28+D35),1)</f>
        <v>386.6</v>
      </c>
      <c r="F37" s="2031">
        <f>ROUND(SUM(F17+F28+F35),1)</f>
        <v>221.6</v>
      </c>
      <c r="H37" s="2031">
        <f>ROUND(SUM(H17+H28+H35),1)</f>
        <v>560.70000000000005</v>
      </c>
      <c r="J37" s="2031">
        <f>ROUND(SUM(J17+J28+J35),1)</f>
        <v>256.3</v>
      </c>
      <c r="L37" s="2031">
        <f>ROUND(SUM(L17+L28+L35),1)</f>
        <v>211.9</v>
      </c>
      <c r="N37" s="2031">
        <f>ROUND(SUM(N17+N28+N35),1)</f>
        <v>550.79999999999995</v>
      </c>
      <c r="P37" s="2031">
        <f>ROUND(SUM(P17+P28+P35),1)</f>
        <v>251.7</v>
      </c>
      <c r="R37" s="2031">
        <f>ROUND(SUM(R17+R28+R35),1)</f>
        <v>224.7</v>
      </c>
      <c r="T37" s="2031">
        <f>ROUND(SUM(T17+T28+T35),1)</f>
        <v>559.79999999999995</v>
      </c>
      <c r="V37" s="2031">
        <f>ROUND(SUM(V17+V28+V35),1)</f>
        <v>2077.1999999999998</v>
      </c>
      <c r="X37" s="2031">
        <f>ROUND(SUM(X17+X28+X35),1)</f>
        <v>0</v>
      </c>
      <c r="Z37" s="2031">
        <f>ROUND(SUM(Z17+Z28+Z35),1)</f>
        <v>0</v>
      </c>
      <c r="AA37" s="1428"/>
      <c r="AB37" s="2031">
        <f>ROUND(SUM(AB17+AB28+AB35),1)</f>
        <v>0</v>
      </c>
      <c r="AC37" s="2016"/>
      <c r="AD37" s="2033">
        <f>ROUND(SUM(AD17+AD28+AD35),1)</f>
        <v>5301.3</v>
      </c>
      <c r="AE37" s="1974"/>
      <c r="AF37" s="2018"/>
      <c r="AG37" s="2033">
        <f>ROUND(SUM(AG17+AG28+AG35),1)</f>
        <v>4852.7</v>
      </c>
      <c r="AH37" s="3413"/>
      <c r="AI37" s="1986"/>
      <c r="AJ37" s="2031">
        <f>ROUND(SUM(AJ17+AJ28+AJ35),1)</f>
        <v>448.6</v>
      </c>
      <c r="AL37" s="1419">
        <f>ROUND(SUM(+AJ37/AG37),3)</f>
        <v>9.1999999999999998E-2</v>
      </c>
    </row>
    <row r="38" spans="1:38" ht="15" customHeight="1">
      <c r="A38" s="2023"/>
      <c r="B38" s="2023"/>
      <c r="C38" s="2023"/>
      <c r="D38" s="2504"/>
      <c r="F38" s="2504"/>
      <c r="H38" s="2506"/>
      <c r="J38" s="2506"/>
      <c r="L38" s="2506"/>
      <c r="N38" s="2506"/>
      <c r="P38" s="2506"/>
      <c r="R38" s="2506"/>
      <c r="T38" s="2506"/>
      <c r="V38" s="1994"/>
      <c r="X38" s="1994"/>
      <c r="Z38" s="1994"/>
      <c r="AA38" s="2504"/>
      <c r="AB38" s="1985"/>
      <c r="AC38" s="2016"/>
      <c r="AD38" s="1974"/>
      <c r="AE38" s="1974"/>
      <c r="AF38" s="2018"/>
      <c r="AG38" s="2099"/>
      <c r="AH38" s="3417"/>
      <c r="AI38" s="1986"/>
      <c r="AJ38" s="1427"/>
      <c r="AK38" s="2497"/>
      <c r="AL38" s="1416"/>
    </row>
    <row r="39" spans="1:38" ht="15" customHeight="1">
      <c r="A39" s="2023"/>
      <c r="B39" s="2417" t="s">
        <v>929</v>
      </c>
      <c r="C39" s="2023"/>
      <c r="D39" s="2504"/>
      <c r="F39" s="2504"/>
      <c r="H39" s="2506"/>
      <c r="J39" s="2506"/>
      <c r="L39" s="2506"/>
      <c r="N39" s="2506"/>
      <c r="P39" s="2506"/>
      <c r="R39" s="2506"/>
      <c r="T39" s="2506"/>
      <c r="V39" s="1994"/>
      <c r="X39" s="1994"/>
      <c r="Z39" s="1994"/>
      <c r="AA39" s="2504"/>
      <c r="AB39" s="1985"/>
      <c r="AC39" s="2016"/>
      <c r="AD39" s="1974"/>
      <c r="AE39" s="1974"/>
      <c r="AF39" s="2018"/>
      <c r="AG39" s="2099"/>
      <c r="AH39" s="3417"/>
      <c r="AI39" s="1986"/>
      <c r="AJ39" s="1427"/>
      <c r="AK39" s="2497"/>
      <c r="AL39" s="1416"/>
    </row>
    <row r="40" spans="1:38" ht="15" customHeight="1">
      <c r="A40" s="2023"/>
      <c r="B40" s="2440" t="s">
        <v>1044</v>
      </c>
      <c r="C40" s="2023"/>
      <c r="D40" s="2504"/>
      <c r="F40" s="2504"/>
      <c r="H40" s="2506"/>
      <c r="J40" s="2506"/>
      <c r="L40" s="2506"/>
      <c r="N40" s="2506"/>
      <c r="P40" s="2506"/>
      <c r="R40" s="2506"/>
      <c r="T40" s="2506"/>
      <c r="V40" s="1994"/>
      <c r="X40" s="1994"/>
      <c r="Z40" s="1994"/>
      <c r="AA40" s="2504"/>
      <c r="AB40" s="1985"/>
      <c r="AC40" s="2016"/>
      <c r="AD40" s="1974"/>
      <c r="AE40" s="1974"/>
      <c r="AF40" s="2018"/>
      <c r="AG40" s="2099"/>
      <c r="AH40" s="3417"/>
      <c r="AI40" s="1986"/>
      <c r="AJ40" s="1427"/>
      <c r="AK40" s="2497"/>
      <c r="AL40" s="1416"/>
    </row>
    <row r="41" spans="1:38" s="2163" customFormat="1" ht="15" customHeight="1">
      <c r="A41" s="2420"/>
      <c r="B41" s="2440" t="s">
        <v>961</v>
      </c>
      <c r="C41" s="2420"/>
      <c r="D41" s="2011">
        <f>'Exhibit G State'!D41+'Exhibit G Federal'!D19</f>
        <v>0.9</v>
      </c>
      <c r="E41" s="2506"/>
      <c r="F41" s="2011">
        <f>'Exhibit G State'!F41+'Exhibit G Federal'!F19</f>
        <v>0.99999999999999989</v>
      </c>
      <c r="G41" s="2506"/>
      <c r="H41" s="2011">
        <f>'Exhibit G State'!H41+'Exhibit G Federal'!H19</f>
        <v>0.80000000000000038</v>
      </c>
      <c r="I41" s="2484"/>
      <c r="J41" s="1979">
        <f>'Exhibit G State'!J41+'Exhibit G Federal'!J19</f>
        <v>0.8999999999999998</v>
      </c>
      <c r="K41" s="2496"/>
      <c r="L41" s="1979">
        <f>'Exhibit G State'!L41+'Exhibit G Federal'!L19</f>
        <v>0.9</v>
      </c>
      <c r="M41" s="2496"/>
      <c r="N41" s="1979">
        <f>'Exhibit G State'!N41+'Exhibit G Federal'!N19</f>
        <v>1.1999999999999997</v>
      </c>
      <c r="O41" s="2496"/>
      <c r="P41" s="1979">
        <f>'Exhibit G State'!P41+'Exhibit G Federal'!P19</f>
        <v>1</v>
      </c>
      <c r="Q41" s="2496"/>
      <c r="R41" s="1979">
        <f>'Exhibit G State'!R41+'Exhibit G Federal'!R19</f>
        <v>1.2999999999999998</v>
      </c>
      <c r="S41" s="2496"/>
      <c r="T41" s="1979">
        <f>'Exhibit G State'!T41+'Exhibit G Federal'!T19</f>
        <v>0.99999999999999956</v>
      </c>
      <c r="U41" s="2496"/>
      <c r="V41" s="1979">
        <f>'Exhibit G State'!V41+'Exhibit G Federal'!V19</f>
        <v>0.89999999999999991</v>
      </c>
      <c r="W41" s="2496"/>
      <c r="X41" s="1979"/>
      <c r="Y41" s="2496"/>
      <c r="Z41" s="2011"/>
      <c r="AA41" s="2011"/>
      <c r="AB41" s="1974">
        <v>0</v>
      </c>
      <c r="AC41" s="2018"/>
      <c r="AD41" s="1974">
        <f t="shared" ref="AD41:AD83" si="10">ROUND(SUM(D41:Z41),1)</f>
        <v>9.9</v>
      </c>
      <c r="AE41" s="1974"/>
      <c r="AF41" s="2018"/>
      <c r="AG41" s="2011">
        <f>'Exhibit G State'!AG41+'Exhibit G Federal'!AG19</f>
        <v>9.5</v>
      </c>
      <c r="AH41" s="3417"/>
      <c r="AI41" s="1956"/>
      <c r="AJ41" s="1979">
        <f>ROUND(SUM(+AD41-AG41),1)</f>
        <v>0.4</v>
      </c>
      <c r="AK41" s="2504"/>
      <c r="AL41" s="1703">
        <f>ROUND(IF(AG41=0,0,AJ41/ABS(AG41)),3)</f>
        <v>4.2000000000000003E-2</v>
      </c>
    </row>
    <row r="42" spans="1:38" s="2163" customFormat="1" ht="15" customHeight="1">
      <c r="A42" s="2420"/>
      <c r="B42" s="2440" t="s">
        <v>1045</v>
      </c>
      <c r="C42" s="2420"/>
      <c r="D42" s="2011"/>
      <c r="E42" s="2484"/>
      <c r="F42" s="2011"/>
      <c r="G42" s="2484"/>
      <c r="H42" s="2011"/>
      <c r="I42" s="2484"/>
      <c r="J42" s="1979"/>
      <c r="K42" s="2496"/>
      <c r="L42" s="1979"/>
      <c r="M42" s="2496"/>
      <c r="N42" s="1979"/>
      <c r="O42" s="2496"/>
      <c r="P42" s="1979"/>
      <c r="Q42" s="2496"/>
      <c r="R42" s="1979"/>
      <c r="S42" s="2496"/>
      <c r="T42" s="1979"/>
      <c r="U42" s="2496"/>
      <c r="V42" s="1979"/>
      <c r="W42" s="2496"/>
      <c r="X42" s="1979"/>
      <c r="Y42" s="2496"/>
      <c r="Z42" s="2011"/>
      <c r="AA42" s="2011"/>
      <c r="AB42" s="1974"/>
      <c r="AC42" s="2018"/>
      <c r="AD42" s="1974"/>
      <c r="AE42" s="1974"/>
      <c r="AF42" s="2018"/>
      <c r="AG42" s="2011"/>
      <c r="AH42" s="3417"/>
      <c r="AI42" s="1956"/>
      <c r="AJ42" s="1979"/>
      <c r="AK42" s="2504"/>
      <c r="AL42" s="1797"/>
    </row>
    <row r="43" spans="1:38" s="2163" customFormat="1" ht="15" customHeight="1">
      <c r="A43" s="2420"/>
      <c r="B43" s="2440" t="s">
        <v>963</v>
      </c>
      <c r="C43" s="2420"/>
      <c r="D43" s="2011">
        <f>'Exhibit G State'!D43+'Exhibit G Federal'!D21</f>
        <v>69.2</v>
      </c>
      <c r="E43" s="2011"/>
      <c r="F43" s="2011">
        <f>'Exhibit G State'!F43+'Exhibit G Federal'!F21</f>
        <v>40.699999999999996</v>
      </c>
      <c r="G43" s="2011"/>
      <c r="H43" s="2011">
        <f>'Exhibit G State'!H43+'Exhibit G Federal'!H21</f>
        <v>61.4</v>
      </c>
      <c r="I43" s="2484"/>
      <c r="J43" s="1979">
        <f>'Exhibit G State'!J43+'Exhibit G Federal'!J21</f>
        <v>95.499999999999986</v>
      </c>
      <c r="K43" s="2496"/>
      <c r="L43" s="1979">
        <f>'Exhibit G State'!L43+'Exhibit G Federal'!L21</f>
        <v>31.100000000000023</v>
      </c>
      <c r="M43" s="2496"/>
      <c r="N43" s="1979">
        <f>'Exhibit G State'!N43+'Exhibit G Federal'!N21</f>
        <v>29.799999999999997</v>
      </c>
      <c r="O43" s="2496"/>
      <c r="P43" s="1979">
        <f>'Exhibit G State'!P43+'Exhibit G Federal'!P21</f>
        <v>93.500000000000028</v>
      </c>
      <c r="Q43" s="2496"/>
      <c r="R43" s="1979">
        <f>'Exhibit G State'!R43+'Exhibit G Federal'!R21</f>
        <v>11.599999999999952</v>
      </c>
      <c r="S43" s="2496"/>
      <c r="T43" s="1979">
        <f>'Exhibit G State'!T43+'Exhibit G Federal'!T21</f>
        <v>170.20000000000005</v>
      </c>
      <c r="U43" s="2496"/>
      <c r="V43" s="1979">
        <f>'Exhibit G State'!V43+'Exhibit G Federal'!V21</f>
        <v>35.499999999999979</v>
      </c>
      <c r="W43" s="2496"/>
      <c r="X43" s="1979"/>
      <c r="Y43" s="2496"/>
      <c r="Z43" s="2011"/>
      <c r="AA43" s="2011"/>
      <c r="AB43" s="1974">
        <v>0</v>
      </c>
      <c r="AC43" s="2018"/>
      <c r="AD43" s="1974">
        <f>ROUND(SUM(D43:Z43),1)</f>
        <v>638.5</v>
      </c>
      <c r="AE43" s="1974"/>
      <c r="AF43" s="2018"/>
      <c r="AG43" s="2011">
        <f>'Exhibit G State'!AG43+'Exhibit G Federal'!AG21</f>
        <v>619.6</v>
      </c>
      <c r="AH43" s="3417"/>
      <c r="AI43" s="1956"/>
      <c r="AJ43" s="1979">
        <f>ROUND(SUM(+AD43-AG43),1)</f>
        <v>18.899999999999999</v>
      </c>
      <c r="AK43" s="2504"/>
      <c r="AL43" s="1703">
        <f>ROUND(IF(AG43=0,0,AJ43/ABS(AG43)),3)</f>
        <v>3.1E-2</v>
      </c>
    </row>
    <row r="44" spans="1:38" s="2163" customFormat="1" ht="15" customHeight="1">
      <c r="A44" s="2420"/>
      <c r="B44" s="2440" t="s">
        <v>964</v>
      </c>
      <c r="C44" s="2420"/>
      <c r="D44" s="2011">
        <f>'Exhibit G State'!D44+'Exhibit G Federal'!D22</f>
        <v>482.7</v>
      </c>
      <c r="E44" s="2011"/>
      <c r="F44" s="2011">
        <f>'Exhibit G State'!F44+'Exhibit G Federal'!F22</f>
        <v>530.09999999999991</v>
      </c>
      <c r="G44" s="2011"/>
      <c r="H44" s="2011">
        <f>'Exhibit G State'!H44+'Exhibit G Federal'!H22</f>
        <v>540.70000000000005</v>
      </c>
      <c r="I44" s="2484"/>
      <c r="J44" s="1979">
        <f>'Exhibit G State'!J44+'Exhibit G Federal'!J22</f>
        <v>526.30000000000018</v>
      </c>
      <c r="K44" s="2496"/>
      <c r="L44" s="1979">
        <f>'Exhibit G State'!L44+'Exhibit G Federal'!L22</f>
        <v>529.99999999999977</v>
      </c>
      <c r="M44" s="2496"/>
      <c r="N44" s="1979">
        <f>'Exhibit G State'!N44+'Exhibit G Federal'!N22</f>
        <v>527.70000000000027</v>
      </c>
      <c r="O44" s="2496"/>
      <c r="P44" s="1979">
        <f>'Exhibit G State'!P44+'Exhibit G Federal'!P22</f>
        <v>514.69999999999959</v>
      </c>
      <c r="Q44" s="2496"/>
      <c r="R44" s="1979">
        <f>'Exhibit G State'!R44+'Exhibit G Federal'!R22</f>
        <v>525.10000000000036</v>
      </c>
      <c r="S44" s="2496"/>
      <c r="T44" s="1979">
        <f>'Exhibit G State'!T44+'Exhibit G Federal'!T22</f>
        <v>551.59999999999923</v>
      </c>
      <c r="U44" s="2496"/>
      <c r="V44" s="1979">
        <f>'Exhibit G State'!V44+'Exhibit G Federal'!V22</f>
        <v>503.40000000000055</v>
      </c>
      <c r="W44" s="2496"/>
      <c r="X44" s="1979"/>
      <c r="Y44" s="2496"/>
      <c r="Z44" s="2011"/>
      <c r="AA44" s="2011"/>
      <c r="AB44" s="1974">
        <v>0</v>
      </c>
      <c r="AC44" s="2018"/>
      <c r="AD44" s="1979">
        <f t="shared" si="10"/>
        <v>5232.3</v>
      </c>
      <c r="AE44" s="1974"/>
      <c r="AF44" s="2018"/>
      <c r="AG44" s="2011">
        <f>'Exhibit G State'!AG44+'Exhibit G Federal'!AG22</f>
        <v>4890</v>
      </c>
      <c r="AH44" s="3417"/>
      <c r="AI44" s="1956"/>
      <c r="AJ44" s="1979">
        <f>ROUND(SUM(+AD44-AG44),1)</f>
        <v>342.3</v>
      </c>
      <c r="AK44" s="2504"/>
      <c r="AL44" s="1703">
        <f>ROUND(IF(AG44=0,0,AJ44/ABS(AG44)),3)</f>
        <v>7.0000000000000007E-2</v>
      </c>
    </row>
    <row r="45" spans="1:38" s="2163" customFormat="1" ht="15" customHeight="1">
      <c r="A45" s="2420"/>
      <c r="B45" s="2440" t="s">
        <v>965</v>
      </c>
      <c r="C45" s="2420"/>
      <c r="D45" s="2011">
        <f>'Exhibit G State'!D45+'Exhibit G Federal'!D23</f>
        <v>1.5</v>
      </c>
      <c r="E45" s="2011"/>
      <c r="F45" s="2011">
        <f>'Exhibit G State'!F45+'Exhibit G Federal'!F23</f>
        <v>0</v>
      </c>
      <c r="G45" s="2011"/>
      <c r="H45" s="2011">
        <f>'Exhibit G State'!H45+'Exhibit G Federal'!H23</f>
        <v>0.70000000000000018</v>
      </c>
      <c r="I45" s="2484"/>
      <c r="J45" s="1979">
        <f>'Exhibit G State'!J45+'Exhibit G Federal'!J23</f>
        <v>0</v>
      </c>
      <c r="K45" s="2496"/>
      <c r="L45" s="1979">
        <f>'Exhibit G State'!L45+'Exhibit G Federal'!L23</f>
        <v>9.9999999999999645E-2</v>
      </c>
      <c r="M45" s="2496"/>
      <c r="N45" s="1979">
        <f>'Exhibit G State'!N45+'Exhibit G Federal'!N23</f>
        <v>44.4</v>
      </c>
      <c r="O45" s="2496"/>
      <c r="P45" s="1979">
        <f>'Exhibit G State'!P45+'Exhibit G Federal'!P23</f>
        <v>-0.70000000000000284</v>
      </c>
      <c r="Q45" s="2496"/>
      <c r="R45" s="1979">
        <f>'Exhibit G State'!R45+'Exhibit G Federal'!R23</f>
        <v>-12.199999999999996</v>
      </c>
      <c r="S45" s="2496"/>
      <c r="T45" s="1979">
        <f>'Exhibit G State'!T45+'Exhibit G Federal'!T23</f>
        <v>0.79999999999999716</v>
      </c>
      <c r="U45" s="2496"/>
      <c r="V45" s="1979">
        <f>'Exhibit G State'!V45+'Exhibit G Federal'!V23</f>
        <v>-0.10000000000000142</v>
      </c>
      <c r="W45" s="2496"/>
      <c r="X45" s="1979"/>
      <c r="Y45" s="2496"/>
      <c r="Z45" s="2011"/>
      <c r="AA45" s="2011"/>
      <c r="AB45" s="1974">
        <v>0</v>
      </c>
      <c r="AC45" s="2018"/>
      <c r="AD45" s="1974">
        <f t="shared" si="10"/>
        <v>34.5</v>
      </c>
      <c r="AE45" s="1974"/>
      <c r="AF45" s="2018"/>
      <c r="AG45" s="2011">
        <f>'Exhibit G State'!AG45+'Exhibit G Federal'!AG23</f>
        <v>39.700000000000003</v>
      </c>
      <c r="AH45" s="3417"/>
      <c r="AI45" s="1956"/>
      <c r="AJ45" s="1979">
        <f>ROUND(SUM(+AD45-AG45),1)</f>
        <v>-5.2</v>
      </c>
      <c r="AK45" s="2504"/>
      <c r="AL45" s="1708">
        <f>ROUND(IF(AG45=0,0,AJ45/ABS(AG45)),3)</f>
        <v>-0.13100000000000001</v>
      </c>
    </row>
    <row r="46" spans="1:38" s="2163" customFormat="1" ht="15" customHeight="1">
      <c r="A46" s="2420"/>
      <c r="B46" s="2440" t="s">
        <v>966</v>
      </c>
      <c r="C46" s="2420"/>
      <c r="D46" s="2011">
        <f>'Exhibit G State'!D46+'Exhibit G Federal'!D24</f>
        <v>0</v>
      </c>
      <c r="E46" s="2011"/>
      <c r="F46" s="2011">
        <f>'Exhibit G State'!F46+'Exhibit G Federal'!F24</f>
        <v>0</v>
      </c>
      <c r="G46" s="2011"/>
      <c r="H46" s="2011">
        <f>'Exhibit G State'!H46+'Exhibit G Federal'!H24</f>
        <v>0</v>
      </c>
      <c r="I46" s="2484"/>
      <c r="J46" s="1979">
        <f>'Exhibit G State'!J46+'Exhibit G Federal'!J24</f>
        <v>0</v>
      </c>
      <c r="K46" s="2496"/>
      <c r="L46" s="1979">
        <f>'Exhibit G State'!L46+'Exhibit G Federal'!L24</f>
        <v>0</v>
      </c>
      <c r="M46" s="2496"/>
      <c r="N46" s="1979">
        <f>'Exhibit G State'!N46+'Exhibit G Federal'!N24</f>
        <v>0.1</v>
      </c>
      <c r="O46" s="2496"/>
      <c r="P46" s="1979">
        <f>'Exhibit G State'!P46+'Exhibit G Federal'!P24</f>
        <v>0</v>
      </c>
      <c r="Q46" s="2496"/>
      <c r="R46" s="1979">
        <f>'Exhibit G State'!R46+'Exhibit G Federal'!R24</f>
        <v>0.30000000000000004</v>
      </c>
      <c r="S46" s="2496"/>
      <c r="T46" s="1979">
        <f>'Exhibit G State'!T46+'Exhibit G Federal'!T24</f>
        <v>-0.30000000000000004</v>
      </c>
      <c r="U46" s="2496"/>
      <c r="V46" s="1979">
        <f>'Exhibit G State'!V46+'Exhibit G Federal'!V24</f>
        <v>-0.8</v>
      </c>
      <c r="W46" s="2496"/>
      <c r="X46" s="1979"/>
      <c r="Y46" s="2496"/>
      <c r="Z46" s="2011"/>
      <c r="AA46" s="2011"/>
      <c r="AB46" s="1974">
        <v>0</v>
      </c>
      <c r="AC46" s="2018"/>
      <c r="AD46" s="1974">
        <f t="shared" si="10"/>
        <v>-0.7</v>
      </c>
      <c r="AE46" s="1974"/>
      <c r="AF46" s="2018"/>
      <c r="AG46" s="2011">
        <f>'Exhibit G State'!AG46+'Exhibit G Federal'!AG24</f>
        <v>0</v>
      </c>
      <c r="AH46" s="3417"/>
      <c r="AI46" s="1956"/>
      <c r="AJ46" s="1979">
        <f>ROUND(SUM(+AD46-AG46),1)</f>
        <v>-0.7</v>
      </c>
      <c r="AK46" s="2504"/>
      <c r="AL46" s="1703">
        <f>-ROUND(IF(AG46=0,1,AJ46/ABS(AG46)),3)</f>
        <v>-1</v>
      </c>
    </row>
    <row r="47" spans="1:38" s="2163" customFormat="1" ht="15" customHeight="1">
      <c r="A47" s="2420"/>
      <c r="B47" s="2440" t="s">
        <v>1049</v>
      </c>
      <c r="C47" s="2420"/>
      <c r="D47" s="2011"/>
      <c r="E47" s="2484"/>
      <c r="F47" s="2011"/>
      <c r="G47" s="2484"/>
      <c r="H47" s="2011"/>
      <c r="I47" s="2484"/>
      <c r="J47" s="1979"/>
      <c r="K47" s="2496"/>
      <c r="L47" s="1979"/>
      <c r="M47" s="2496"/>
      <c r="N47" s="1979"/>
      <c r="O47" s="2496"/>
      <c r="P47" s="1979"/>
      <c r="Q47" s="2496"/>
      <c r="R47" s="1979"/>
      <c r="S47" s="2496"/>
      <c r="T47" s="1979"/>
      <c r="U47" s="2496"/>
      <c r="V47" s="1979"/>
      <c r="W47" s="2496"/>
      <c r="X47" s="1979"/>
      <c r="Y47" s="2496"/>
      <c r="Z47" s="2011"/>
      <c r="AA47" s="2011"/>
      <c r="AB47" s="1974"/>
      <c r="AC47" s="2018"/>
      <c r="AD47" s="1974"/>
      <c r="AE47" s="1974"/>
      <c r="AF47" s="2018"/>
      <c r="AG47" s="2011"/>
      <c r="AH47" s="3417"/>
      <c r="AI47" s="1956"/>
      <c r="AJ47" s="1979"/>
      <c r="AK47" s="2504"/>
      <c r="AL47" s="1797"/>
    </row>
    <row r="48" spans="1:38" s="2163" customFormat="1" ht="15" customHeight="1">
      <c r="A48" s="2420"/>
      <c r="B48" s="2440" t="s">
        <v>1139</v>
      </c>
      <c r="C48" s="2420"/>
      <c r="D48" s="2011">
        <f>'Exhibit G State'!D48</f>
        <v>0</v>
      </c>
      <c r="E48" s="2011"/>
      <c r="F48" s="2011">
        <f>'Exhibit G State'!F48</f>
        <v>0</v>
      </c>
      <c r="G48" s="2011"/>
      <c r="H48" s="2011">
        <f>'Exhibit G State'!H48</f>
        <v>0</v>
      </c>
      <c r="I48" s="2484"/>
      <c r="J48" s="2011">
        <f>'Exhibit G State'!J48</f>
        <v>0.7</v>
      </c>
      <c r="K48" s="2496"/>
      <c r="L48" s="2011">
        <f>'Exhibit G State'!L48</f>
        <v>1.5000000000000002</v>
      </c>
      <c r="M48" s="2496"/>
      <c r="N48" s="2011">
        <f>'Exhibit G State'!N48</f>
        <v>9.9999999999999645E-2</v>
      </c>
      <c r="O48" s="2496"/>
      <c r="P48" s="2011">
        <f>'Exhibit G State'!P48</f>
        <v>0</v>
      </c>
      <c r="Q48" s="2496"/>
      <c r="R48" s="2011">
        <f>'Exhibit G State'!R48</f>
        <v>0</v>
      </c>
      <c r="S48" s="2496"/>
      <c r="T48" s="2011">
        <f>'Exhibit G State'!T48</f>
        <v>0.20000000000000018</v>
      </c>
      <c r="U48" s="2496"/>
      <c r="V48" s="2011">
        <f>'Exhibit G State'!V48</f>
        <v>0</v>
      </c>
      <c r="W48" s="2496"/>
      <c r="X48" s="1979"/>
      <c r="Y48" s="2496"/>
      <c r="Z48" s="2011"/>
      <c r="AA48" s="2011"/>
      <c r="AB48" s="1974">
        <v>0</v>
      </c>
      <c r="AC48" s="2018"/>
      <c r="AD48" s="1974">
        <f>ROUND(SUM(D48:Z48),1)</f>
        <v>2.5</v>
      </c>
      <c r="AE48" s="1974"/>
      <c r="AF48" s="2018"/>
      <c r="AG48" s="2011">
        <f>'Exhibit G State'!AG48</f>
        <v>2.2000000000000002</v>
      </c>
      <c r="AH48" s="3417"/>
      <c r="AI48" s="1956"/>
      <c r="AJ48" s="1979">
        <f>ROUND(SUM(+AD48-AG48),1)</f>
        <v>0.3</v>
      </c>
      <c r="AK48" s="2504"/>
      <c r="AL48" s="1703">
        <f>ROUND(IF(AG48=0,0,AJ48/ABS(AG48)),3)</f>
        <v>0.13600000000000001</v>
      </c>
    </row>
    <row r="49" spans="1:38" s="2163" customFormat="1" ht="15" customHeight="1">
      <c r="A49" s="2420"/>
      <c r="B49" s="2440" t="s">
        <v>967</v>
      </c>
      <c r="C49" s="2420"/>
      <c r="D49" s="2011">
        <f>'Exhibit G State'!D49+'Exhibit G Federal'!D26</f>
        <v>38.6</v>
      </c>
      <c r="E49" s="2011"/>
      <c r="F49" s="2011">
        <f>'Exhibit G State'!F49+'Exhibit G Federal'!F26</f>
        <v>26.699999999999996</v>
      </c>
      <c r="G49" s="2011"/>
      <c r="H49" s="2011">
        <f>'Exhibit G State'!H49+'Exhibit G Federal'!H26</f>
        <v>91.100000000000023</v>
      </c>
      <c r="I49" s="2484"/>
      <c r="J49" s="2011">
        <f>'Exhibit G State'!J49+'Exhibit G Federal'!J26</f>
        <v>38.599999999999994</v>
      </c>
      <c r="K49" s="2496"/>
      <c r="L49" s="2011">
        <f>'Exhibit G State'!L49+'Exhibit G Federal'!L26</f>
        <v>52.5</v>
      </c>
      <c r="M49" s="2496"/>
      <c r="N49" s="2011">
        <f>'Exhibit G State'!N49+'Exhibit G Federal'!N26</f>
        <v>95.6</v>
      </c>
      <c r="O49" s="2496"/>
      <c r="P49" s="2011">
        <f>'Exhibit G State'!P49+'Exhibit G Federal'!P26</f>
        <v>38.699999999999989</v>
      </c>
      <c r="Q49" s="2496"/>
      <c r="R49" s="2011">
        <f>'Exhibit G State'!R49+'Exhibit G Federal'!R26</f>
        <v>50</v>
      </c>
      <c r="S49" s="2496"/>
      <c r="T49" s="2011">
        <f>'Exhibit G State'!T49+'Exhibit G Federal'!T26</f>
        <v>81.999999999999972</v>
      </c>
      <c r="U49" s="2496"/>
      <c r="V49" s="2011">
        <f>'Exhibit G State'!V49+'Exhibit G Federal'!V26</f>
        <v>67.599999999999909</v>
      </c>
      <c r="W49" s="2496"/>
      <c r="X49" s="1979"/>
      <c r="Y49" s="2496"/>
      <c r="Z49" s="2011"/>
      <c r="AA49" s="2011"/>
      <c r="AB49" s="1974">
        <v>0</v>
      </c>
      <c r="AC49" s="2018"/>
      <c r="AD49" s="1974">
        <f t="shared" si="10"/>
        <v>581.4</v>
      </c>
      <c r="AE49" s="1974"/>
      <c r="AF49" s="2018"/>
      <c r="AG49" s="2011">
        <f>'Exhibit G State'!AG49+'Exhibit G Federal'!AG26</f>
        <v>585.1</v>
      </c>
      <c r="AH49" s="3417"/>
      <c r="AI49" s="1956"/>
      <c r="AJ49" s="1979">
        <f t="shared" ref="AJ49:AJ54" si="11">ROUND(SUM(+AD49-AG49),1)</f>
        <v>-3.7</v>
      </c>
      <c r="AK49" s="2504"/>
      <c r="AL49" s="1703">
        <f t="shared" ref="AL49:AL54" si="12">ROUND(IF(AG49=0,0,AJ49/ABS(AG49)),3)</f>
        <v>-6.0000000000000001E-3</v>
      </c>
    </row>
    <row r="50" spans="1:38" s="2163" customFormat="1" ht="15" customHeight="1">
      <c r="A50" s="2420"/>
      <c r="B50" s="2440" t="s">
        <v>968</v>
      </c>
      <c r="C50" s="2420"/>
      <c r="D50" s="2011">
        <f>'Exhibit G State'!D50+'Exhibit G Federal'!D27</f>
        <v>5.0999999999999996</v>
      </c>
      <c r="E50" s="2011"/>
      <c r="F50" s="2011">
        <f>'Exhibit G State'!F50+'Exhibit G Federal'!F27</f>
        <v>5.4</v>
      </c>
      <c r="G50" s="2011"/>
      <c r="H50" s="2011">
        <f>'Exhibit G State'!H50+'Exhibit G Federal'!H27</f>
        <v>5</v>
      </c>
      <c r="I50" s="2484"/>
      <c r="J50" s="2011">
        <f>'Exhibit G State'!J50+'Exhibit G Federal'!J27</f>
        <v>4</v>
      </c>
      <c r="K50" s="2496"/>
      <c r="L50" s="2011">
        <f>'Exhibit G State'!L50+'Exhibit G Federal'!L27</f>
        <v>6.4999999999999982</v>
      </c>
      <c r="M50" s="2496"/>
      <c r="N50" s="2011">
        <f>'Exhibit G State'!N50+'Exhibit G Federal'!N27</f>
        <v>5.7000000000000046</v>
      </c>
      <c r="O50" s="2496"/>
      <c r="P50" s="2011">
        <f>'Exhibit G State'!P50+'Exhibit G Federal'!P27</f>
        <v>5.7999999999999972</v>
      </c>
      <c r="Q50" s="2496"/>
      <c r="R50" s="2011">
        <f>'Exhibit G State'!R50+'Exhibit G Federal'!R27</f>
        <v>4.7999999999999954</v>
      </c>
      <c r="S50" s="2496"/>
      <c r="T50" s="2011">
        <f>'Exhibit G State'!T50+'Exhibit G Federal'!T27</f>
        <v>6.0000000000000018</v>
      </c>
      <c r="U50" s="2496"/>
      <c r="V50" s="2011">
        <f>'Exhibit G State'!V50+'Exhibit G Federal'!V27</f>
        <v>4.3000000000000043</v>
      </c>
      <c r="W50" s="2496"/>
      <c r="X50" s="1979"/>
      <c r="Y50" s="2496"/>
      <c r="Z50" s="2011"/>
      <c r="AA50" s="2011"/>
      <c r="AB50" s="1974">
        <v>0</v>
      </c>
      <c r="AC50" s="2018"/>
      <c r="AD50" s="1974">
        <f t="shared" si="10"/>
        <v>52.6</v>
      </c>
      <c r="AE50" s="1974"/>
      <c r="AF50" s="2018"/>
      <c r="AG50" s="2011">
        <f>'Exhibit G State'!AG50+'Exhibit G Federal'!AG27</f>
        <v>39.4</v>
      </c>
      <c r="AH50" s="3417"/>
      <c r="AI50" s="1956"/>
      <c r="AJ50" s="1979">
        <f t="shared" si="11"/>
        <v>13.2</v>
      </c>
      <c r="AK50" s="2504"/>
      <c r="AL50" s="1703">
        <f t="shared" si="12"/>
        <v>0.33500000000000002</v>
      </c>
    </row>
    <row r="51" spans="1:38" s="2163" customFormat="1" ht="15" customHeight="1">
      <c r="A51" s="2420"/>
      <c r="B51" s="2440" t="s">
        <v>969</v>
      </c>
      <c r="C51" s="2420"/>
      <c r="D51" s="2011">
        <f>'Exhibit G State'!D51+'Exhibit G Federal'!D28</f>
        <v>0.9</v>
      </c>
      <c r="E51" s="2011"/>
      <c r="F51" s="2011">
        <f>'Exhibit G State'!F51+'Exhibit G Federal'!F28</f>
        <v>0.20000000000000007</v>
      </c>
      <c r="G51" s="2011"/>
      <c r="H51" s="2011">
        <f>'Exhibit G State'!H51+'Exhibit G Federal'!H28</f>
        <v>0.79999999999999982</v>
      </c>
      <c r="I51" s="2484"/>
      <c r="J51" s="2011">
        <f>'Exhibit G State'!J51+'Exhibit G Federal'!J28</f>
        <v>0.20000000000000018</v>
      </c>
      <c r="K51" s="2496"/>
      <c r="L51" s="2011">
        <f>'Exhibit G State'!L51+'Exhibit G Federal'!L28</f>
        <v>0.39999999999999991</v>
      </c>
      <c r="M51" s="2496"/>
      <c r="N51" s="2011">
        <f>'Exhibit G State'!N51+'Exhibit G Federal'!N28</f>
        <v>0.10000000000000009</v>
      </c>
      <c r="O51" s="2496"/>
      <c r="P51" s="2011">
        <f>'Exhibit G State'!P51+'Exhibit G Federal'!P28</f>
        <v>0.29999999999999982</v>
      </c>
      <c r="Q51" s="2496"/>
      <c r="R51" s="2011">
        <f>'Exhibit G State'!R51+'Exhibit G Federal'!R28</f>
        <v>0.39999999999999991</v>
      </c>
      <c r="S51" s="2496"/>
      <c r="T51" s="2011">
        <f>'Exhibit G State'!T51+'Exhibit G Federal'!T28</f>
        <v>0</v>
      </c>
      <c r="U51" s="2496"/>
      <c r="V51" s="2011">
        <f>'Exhibit G State'!V51+'Exhibit G Federal'!V28</f>
        <v>1.9999999999999996</v>
      </c>
      <c r="W51" s="2496"/>
      <c r="X51" s="1979"/>
      <c r="Y51" s="2496"/>
      <c r="Z51" s="2011"/>
      <c r="AA51" s="2011"/>
      <c r="AB51" s="1974">
        <v>0</v>
      </c>
      <c r="AC51" s="2018"/>
      <c r="AD51" s="1974">
        <f>ROUND(SUM(D51:Z51),1)</f>
        <v>5.3</v>
      </c>
      <c r="AE51" s="1974"/>
      <c r="AF51" s="2018"/>
      <c r="AG51" s="2011">
        <f>'Exhibit G State'!AG51+'Exhibit G Federal'!AG28</f>
        <v>3.5</v>
      </c>
      <c r="AH51" s="3417"/>
      <c r="AI51" s="1956"/>
      <c r="AJ51" s="1979">
        <f t="shared" si="11"/>
        <v>1.8</v>
      </c>
      <c r="AK51" s="2504"/>
      <c r="AL51" s="1703">
        <f>ROUND(IF(AG51=0,1,AJ51/ABS(AG51)),3)</f>
        <v>0.51400000000000001</v>
      </c>
    </row>
    <row r="52" spans="1:38" s="2163" customFormat="1" ht="15" customHeight="1">
      <c r="A52" s="2420"/>
      <c r="B52" s="2440" t="s">
        <v>970</v>
      </c>
      <c r="C52" s="2420"/>
      <c r="D52" s="2011">
        <f>'Exhibit G State'!D52+'Exhibit G Federal'!D29</f>
        <v>29.6</v>
      </c>
      <c r="E52" s="2011"/>
      <c r="F52" s="2011">
        <f>'Exhibit G State'!F52+'Exhibit G Federal'!F29</f>
        <v>27.799999999999997</v>
      </c>
      <c r="G52" s="2011"/>
      <c r="H52" s="2011">
        <f>'Exhibit G State'!H52+'Exhibit G Federal'!H29</f>
        <v>24.300000000000004</v>
      </c>
      <c r="I52" s="2484"/>
      <c r="J52" s="2011">
        <f>'Exhibit G State'!J52+'Exhibit G Federal'!J29</f>
        <v>16.899999999999999</v>
      </c>
      <c r="K52" s="2496"/>
      <c r="L52" s="2011">
        <f>'Exhibit G State'!L52+'Exhibit G Federal'!L29</f>
        <v>29.599999999999994</v>
      </c>
      <c r="M52" s="2496"/>
      <c r="N52" s="2011">
        <f>'Exhibit G State'!N52+'Exhibit G Federal'!N29</f>
        <v>41.900000000000006</v>
      </c>
      <c r="O52" s="2496"/>
      <c r="P52" s="2011">
        <f>'Exhibit G State'!P52+'Exhibit G Federal'!P29</f>
        <v>14.300000000000011</v>
      </c>
      <c r="Q52" s="2496"/>
      <c r="R52" s="2011">
        <f>'Exhibit G State'!R52+'Exhibit G Federal'!R29</f>
        <v>31.900000000000006</v>
      </c>
      <c r="S52" s="2496"/>
      <c r="T52" s="2011">
        <f>'Exhibit G State'!T52+'Exhibit G Federal'!T29</f>
        <v>21.299999999999955</v>
      </c>
      <c r="U52" s="2496"/>
      <c r="V52" s="2011">
        <f>'Exhibit G State'!V52+'Exhibit G Federal'!V29</f>
        <v>28.700000000000045</v>
      </c>
      <c r="W52" s="2496"/>
      <c r="X52" s="1979"/>
      <c r="Y52" s="2496"/>
      <c r="Z52" s="2011"/>
      <c r="AA52" s="2011"/>
      <c r="AB52" s="1974">
        <v>0</v>
      </c>
      <c r="AC52" s="2018"/>
      <c r="AD52" s="1974">
        <f t="shared" si="10"/>
        <v>266.3</v>
      </c>
      <c r="AE52" s="1974"/>
      <c r="AF52" s="2018"/>
      <c r="AG52" s="2011">
        <f>'Exhibit G State'!AG52+'Exhibit G Federal'!AG29</f>
        <v>234.7</v>
      </c>
      <c r="AH52" s="3417"/>
      <c r="AI52" s="1956"/>
      <c r="AJ52" s="1979">
        <f t="shared" si="11"/>
        <v>31.6</v>
      </c>
      <c r="AK52" s="2504"/>
      <c r="AL52" s="1703">
        <f t="shared" si="12"/>
        <v>0.13500000000000001</v>
      </c>
    </row>
    <row r="53" spans="1:38" s="2163" customFormat="1" ht="15" customHeight="1">
      <c r="A53" s="2420"/>
      <c r="B53" s="2440" t="s">
        <v>971</v>
      </c>
      <c r="C53" s="2420"/>
      <c r="D53" s="2011">
        <f>'Exhibit G State'!D53+'Exhibit G Federal'!D30</f>
        <v>65.7</v>
      </c>
      <c r="E53" s="2011"/>
      <c r="F53" s="2011">
        <f>'Exhibit G State'!F53+'Exhibit G Federal'!F30</f>
        <v>49.599999999999994</v>
      </c>
      <c r="G53" s="2011"/>
      <c r="H53" s="2011">
        <f>'Exhibit G State'!H53+'Exhibit G Federal'!H30</f>
        <v>83.000000000000028</v>
      </c>
      <c r="I53" s="2484"/>
      <c r="J53" s="2011">
        <f>'Exhibit G State'!J53+'Exhibit G Federal'!J30</f>
        <v>56.5</v>
      </c>
      <c r="K53" s="2496"/>
      <c r="L53" s="2011">
        <f>'Exhibit G State'!L53+'Exhibit G Federal'!L30</f>
        <v>89.899999999999977</v>
      </c>
      <c r="M53" s="2496"/>
      <c r="N53" s="2011">
        <f>'Exhibit G State'!N53+'Exhibit G Federal'!N30</f>
        <v>143.10000000000002</v>
      </c>
      <c r="O53" s="2496"/>
      <c r="P53" s="2011">
        <f>'Exhibit G State'!P53+'Exhibit G Federal'!P30</f>
        <v>72.900000000000091</v>
      </c>
      <c r="Q53" s="2496"/>
      <c r="R53" s="2011">
        <f>'Exhibit G State'!R53+'Exhibit G Federal'!R30</f>
        <v>124.19999999999982</v>
      </c>
      <c r="S53" s="2496"/>
      <c r="T53" s="2011">
        <f>'Exhibit G State'!T53+'Exhibit G Federal'!T30</f>
        <v>55.399999999999977</v>
      </c>
      <c r="U53" s="2496"/>
      <c r="V53" s="2011">
        <f>'Exhibit G State'!V53+'Exhibit G Federal'!V30</f>
        <v>73.200000000000045</v>
      </c>
      <c r="W53" s="2496"/>
      <c r="X53" s="1979"/>
      <c r="Y53" s="2496"/>
      <c r="Z53" s="2011"/>
      <c r="AA53" s="2011"/>
      <c r="AB53" s="1974">
        <v>0</v>
      </c>
      <c r="AC53" s="2018"/>
      <c r="AD53" s="1979">
        <f t="shared" si="10"/>
        <v>813.5</v>
      </c>
      <c r="AE53" s="1974"/>
      <c r="AF53" s="2018"/>
      <c r="AG53" s="2011">
        <f>'Exhibit G State'!AG53+'Exhibit G Federal'!AG30</f>
        <v>532.79999999999995</v>
      </c>
      <c r="AH53" s="3417"/>
      <c r="AI53" s="1956"/>
      <c r="AJ53" s="1979">
        <f t="shared" si="11"/>
        <v>280.7</v>
      </c>
      <c r="AK53" s="2504"/>
      <c r="AL53" s="1703">
        <f t="shared" si="12"/>
        <v>0.52700000000000002</v>
      </c>
    </row>
    <row r="54" spans="1:38" s="2163" customFormat="1" ht="15" customHeight="1">
      <c r="A54" s="2420"/>
      <c r="B54" s="2440" t="s">
        <v>930</v>
      </c>
      <c r="C54" s="2420"/>
      <c r="D54" s="2011">
        <f>'Exhibit G State'!D54+'Exhibit G Federal'!D31</f>
        <v>6.5</v>
      </c>
      <c r="E54" s="2011"/>
      <c r="F54" s="2011">
        <f>'Exhibit G State'!F54+'Exhibit G Federal'!F31</f>
        <v>9.1000000000000014</v>
      </c>
      <c r="G54" s="2011"/>
      <c r="H54" s="2011">
        <f>'Exhibit G State'!H54+'Exhibit G Federal'!H31</f>
        <v>12.200000000000001</v>
      </c>
      <c r="I54" s="2484"/>
      <c r="J54" s="2011">
        <f>'Exhibit G State'!J54+'Exhibit G Federal'!J31</f>
        <v>6.0999999999999952</v>
      </c>
      <c r="K54" s="2496"/>
      <c r="L54" s="2011">
        <f>'Exhibit G State'!L54+'Exhibit G Federal'!L31</f>
        <v>11.300000000000002</v>
      </c>
      <c r="M54" s="2496"/>
      <c r="N54" s="2011">
        <f>'Exhibit G State'!N54+'Exhibit G Federal'!N31</f>
        <v>6.3999999999999986</v>
      </c>
      <c r="O54" s="2496"/>
      <c r="P54" s="2011">
        <f>'Exhibit G State'!P54+'Exhibit G Federal'!P31</f>
        <v>12.799999999999999</v>
      </c>
      <c r="Q54" s="2496"/>
      <c r="R54" s="2011">
        <f>'Exhibit G State'!R54+'Exhibit G Federal'!R31</f>
        <v>10.100000000000005</v>
      </c>
      <c r="S54" s="2496"/>
      <c r="T54" s="2011">
        <f>'Exhibit G State'!T54+'Exhibit G Federal'!T31</f>
        <v>5.7000000000000028</v>
      </c>
      <c r="U54" s="2496"/>
      <c r="V54" s="2011">
        <f>'Exhibit G State'!V54+'Exhibit G Federal'!V31</f>
        <v>13</v>
      </c>
      <c r="W54" s="2496"/>
      <c r="X54" s="1979"/>
      <c r="Y54" s="2496"/>
      <c r="Z54" s="2011"/>
      <c r="AA54" s="2011"/>
      <c r="AB54" s="1974">
        <v>0</v>
      </c>
      <c r="AC54" s="2018"/>
      <c r="AD54" s="1979">
        <f>ROUND(SUM(D54:Z54),1)</f>
        <v>93.2</v>
      </c>
      <c r="AE54" s="1974"/>
      <c r="AF54" s="2018"/>
      <c r="AG54" s="2011">
        <f>'Exhibit G State'!AG54+'Exhibit G Federal'!AG31</f>
        <v>114.8</v>
      </c>
      <c r="AH54" s="3417"/>
      <c r="AI54" s="1956"/>
      <c r="AJ54" s="1979">
        <f t="shared" si="11"/>
        <v>-21.6</v>
      </c>
      <c r="AK54" s="2504"/>
      <c r="AL54" s="1708">
        <f t="shared" si="12"/>
        <v>-0.188</v>
      </c>
    </row>
    <row r="55" spans="1:38" s="2163" customFormat="1" ht="15" customHeight="1">
      <c r="A55" s="2420"/>
      <c r="B55" s="2440" t="s">
        <v>1046</v>
      </c>
      <c r="C55" s="2420"/>
      <c r="D55" s="2011"/>
      <c r="E55" s="2484"/>
      <c r="F55" s="2011"/>
      <c r="G55" s="2484"/>
      <c r="H55" s="2011"/>
      <c r="I55" s="2484"/>
      <c r="J55" s="2011"/>
      <c r="K55" s="2496"/>
      <c r="L55" s="2011"/>
      <c r="M55" s="2496"/>
      <c r="N55" s="2011"/>
      <c r="O55" s="2496"/>
      <c r="P55" s="2011"/>
      <c r="Q55" s="2496"/>
      <c r="R55" s="2011"/>
      <c r="S55" s="2496"/>
      <c r="T55" s="2011"/>
      <c r="U55" s="2496"/>
      <c r="V55" s="2011"/>
      <c r="W55" s="2496"/>
      <c r="X55" s="1979"/>
      <c r="Y55" s="2496"/>
      <c r="Z55" s="2011"/>
      <c r="AA55" s="2011"/>
      <c r="AB55" s="1974"/>
      <c r="AC55" s="2018"/>
      <c r="AD55" s="1979"/>
      <c r="AE55" s="1974"/>
      <c r="AF55" s="2018"/>
      <c r="AG55" s="2011"/>
      <c r="AH55" s="3417"/>
      <c r="AI55" s="1956"/>
      <c r="AJ55" s="1979"/>
      <c r="AK55" s="2504"/>
      <c r="AL55" s="1797"/>
    </row>
    <row r="56" spans="1:38" s="2163" customFormat="1" ht="15" customHeight="1">
      <c r="A56" s="2420"/>
      <c r="B56" s="2440" t="s">
        <v>972</v>
      </c>
      <c r="C56" s="2420"/>
      <c r="D56" s="2011">
        <f>'Exhibit G State'!D56</f>
        <v>34.200000000000003</v>
      </c>
      <c r="E56" s="2011"/>
      <c r="F56" s="2011">
        <f>'Exhibit G State'!F56</f>
        <v>14.199999999999996</v>
      </c>
      <c r="G56" s="2011"/>
      <c r="H56" s="2011">
        <f>'Exhibit G State'!H56</f>
        <v>17.100000000000001</v>
      </c>
      <c r="I56" s="2484"/>
      <c r="J56" s="2011">
        <f>'Exhibit G State'!J56</f>
        <v>35.700000000000003</v>
      </c>
      <c r="K56" s="2496"/>
      <c r="L56" s="2011">
        <f>'Exhibit G State'!L56</f>
        <v>15.199999999999996</v>
      </c>
      <c r="M56" s="2496"/>
      <c r="N56" s="2011">
        <f>'Exhibit G State'!N56</f>
        <v>19.29999999999999</v>
      </c>
      <c r="O56" s="2496"/>
      <c r="P56" s="2011">
        <f>'Exhibit G State'!P56</f>
        <v>35.500000000000028</v>
      </c>
      <c r="Q56" s="2496"/>
      <c r="R56" s="2011">
        <f>'Exhibit G State'!R56</f>
        <v>10.199999999999982</v>
      </c>
      <c r="S56" s="2496"/>
      <c r="T56" s="2011">
        <f>'Exhibit G State'!T56</f>
        <v>16.900000000000034</v>
      </c>
      <c r="U56" s="2496"/>
      <c r="V56" s="2011">
        <f>'Exhibit G State'!V56</f>
        <v>29.799999999999962</v>
      </c>
      <c r="W56" s="2496"/>
      <c r="X56" s="1979"/>
      <c r="Y56" s="2496"/>
      <c r="Z56" s="2011"/>
      <c r="AA56" s="2011"/>
      <c r="AB56" s="1974">
        <v>0</v>
      </c>
      <c r="AC56" s="2018"/>
      <c r="AD56" s="1979">
        <f t="shared" si="10"/>
        <v>228.1</v>
      </c>
      <c r="AE56" s="1974"/>
      <c r="AF56" s="2018"/>
      <c r="AG56" s="2011">
        <f>'Exhibit G State'!AG56</f>
        <v>109.5</v>
      </c>
      <c r="AH56" s="3417"/>
      <c r="AI56" s="1956"/>
      <c r="AJ56" s="1979">
        <f t="shared" ref="AJ56:AJ61" si="13">ROUND(SUM(+AD56-AG56),1)</f>
        <v>118.6</v>
      </c>
      <c r="AK56" s="2504"/>
      <c r="AL56" s="1708">
        <f>ROUND(IF(AG56=0,1,AJ56/ABS(AG56)),3)</f>
        <v>1.083</v>
      </c>
    </row>
    <row r="57" spans="1:38" s="2163" customFormat="1" ht="15" customHeight="1">
      <c r="A57" s="2420"/>
      <c r="B57" s="2440" t="s">
        <v>1562</v>
      </c>
      <c r="C57" s="2420"/>
      <c r="D57" s="2011">
        <f>'Exhibit G State'!D57</f>
        <v>199.5</v>
      </c>
      <c r="E57" s="2011"/>
      <c r="F57" s="2011">
        <f>'Exhibit G State'!F57</f>
        <v>213.5</v>
      </c>
      <c r="G57" s="2011"/>
      <c r="H57" s="2011">
        <f>'Exhibit G State'!H57</f>
        <v>238.89999999999998</v>
      </c>
      <c r="I57" s="2484"/>
      <c r="J57" s="2011">
        <f>'Exhibit G State'!J57</f>
        <v>181.89999999999998</v>
      </c>
      <c r="K57" s="2496"/>
      <c r="L57" s="2011">
        <f>'Exhibit G State'!L57</f>
        <v>186.80000000000007</v>
      </c>
      <c r="M57" s="2496"/>
      <c r="N57" s="2011">
        <f>'Exhibit G State'!N57</f>
        <v>240.89999999999998</v>
      </c>
      <c r="O57" s="2496"/>
      <c r="P57" s="2011">
        <f>'Exhibit G State'!P57</f>
        <v>192.40000000000009</v>
      </c>
      <c r="Q57" s="2496"/>
      <c r="R57" s="2011">
        <f>'Exhibit G State'!R57</f>
        <v>203.2</v>
      </c>
      <c r="S57" s="2496"/>
      <c r="T57" s="2011">
        <f>'Exhibit G State'!T57</f>
        <v>225.39999999999969</v>
      </c>
      <c r="U57" s="2496"/>
      <c r="V57" s="2011">
        <f>'Exhibit G State'!V57</f>
        <v>193.99999999999989</v>
      </c>
      <c r="W57" s="2496"/>
      <c r="X57" s="1979"/>
      <c r="Y57" s="2496"/>
      <c r="Z57" s="2011"/>
      <c r="AA57" s="2011"/>
      <c r="AB57" s="1974">
        <v>0</v>
      </c>
      <c r="AC57" s="2018"/>
      <c r="AD57" s="1979">
        <f t="shared" si="10"/>
        <v>2076.5</v>
      </c>
      <c r="AE57" s="1974"/>
      <c r="AF57" s="2018"/>
      <c r="AG57" s="2011">
        <f>'Exhibit G State'!AG57</f>
        <v>1881.7</v>
      </c>
      <c r="AH57" s="3417"/>
      <c r="AI57" s="1956"/>
      <c r="AJ57" s="1979">
        <f t="shared" si="13"/>
        <v>194.8</v>
      </c>
      <c r="AK57" s="2504"/>
      <c r="AL57" s="1703">
        <f>ROUND(IF(AG57=0,0,AJ57/ABS(AG57)),3)</f>
        <v>0.104</v>
      </c>
    </row>
    <row r="58" spans="1:38" s="2163" customFormat="1" ht="15" customHeight="1">
      <c r="A58" s="2420"/>
      <c r="B58" s="880" t="s">
        <v>1544</v>
      </c>
      <c r="C58" s="2420"/>
      <c r="D58" s="2011">
        <f>'Exhibit G State'!D58</f>
        <v>0</v>
      </c>
      <c r="E58" s="2011"/>
      <c r="F58" s="2011">
        <f>'Exhibit G State'!F58</f>
        <v>0</v>
      </c>
      <c r="G58" s="2011"/>
      <c r="H58" s="2011">
        <f>'Exhibit G State'!H58</f>
        <v>0</v>
      </c>
      <c r="I58" s="2484"/>
      <c r="J58" s="2011">
        <f>'Exhibit G State'!J58</f>
        <v>0</v>
      </c>
      <c r="K58" s="2496"/>
      <c r="L58" s="2011">
        <f>'Exhibit G State'!L58</f>
        <v>0</v>
      </c>
      <c r="M58" s="2496"/>
      <c r="N58" s="2011">
        <f>'Exhibit G State'!N58</f>
        <v>0</v>
      </c>
      <c r="O58" s="2496"/>
      <c r="P58" s="2011">
        <f>'Exhibit G State'!P58</f>
        <v>0</v>
      </c>
      <c r="Q58" s="2496"/>
      <c r="R58" s="2011">
        <f>'Exhibit G State'!R58</f>
        <v>150</v>
      </c>
      <c r="S58" s="2496"/>
      <c r="T58" s="2011">
        <f>'Exhibit G State'!T58</f>
        <v>50</v>
      </c>
      <c r="U58" s="2496"/>
      <c r="V58" s="2011">
        <f>'Exhibit G State'!V58</f>
        <v>46.599999999999994</v>
      </c>
      <c r="W58" s="2496"/>
      <c r="X58" s="1979"/>
      <c r="Y58" s="2496"/>
      <c r="Z58" s="2011"/>
      <c r="AA58" s="2011"/>
      <c r="AB58" s="1974">
        <v>0</v>
      </c>
      <c r="AC58" s="2018"/>
      <c r="AD58" s="1979">
        <f t="shared" si="10"/>
        <v>246.6</v>
      </c>
      <c r="AE58" s="1974"/>
      <c r="AF58" s="2018"/>
      <c r="AG58" s="2011">
        <f>'Exhibit G State'!AG58</f>
        <v>0</v>
      </c>
      <c r="AH58" s="3417"/>
      <c r="AI58" s="1956"/>
      <c r="AJ58" s="1979">
        <f t="shared" si="13"/>
        <v>246.6</v>
      </c>
      <c r="AK58" s="2504"/>
      <c r="AL58" s="1703">
        <f>ROUND(IF(AG58=0,1,AJ58/ABS(AG58)),3)</f>
        <v>1</v>
      </c>
    </row>
    <row r="59" spans="1:38" s="2163" customFormat="1" ht="15" customHeight="1">
      <c r="A59" s="2420"/>
      <c r="B59" s="2440" t="s">
        <v>973</v>
      </c>
      <c r="C59" s="2420"/>
      <c r="D59" s="2011">
        <f>'Exhibit G State'!D59</f>
        <v>75.900000000000006</v>
      </c>
      <c r="E59" s="2011"/>
      <c r="F59" s="2011">
        <f>'Exhibit G State'!F59</f>
        <v>77.899999999999977</v>
      </c>
      <c r="G59" s="2011"/>
      <c r="H59" s="2011">
        <f>'Exhibit G State'!H59</f>
        <v>101.9</v>
      </c>
      <c r="I59" s="2484"/>
      <c r="J59" s="2011">
        <f>'Exhibit G State'!J59</f>
        <v>82.400000000000063</v>
      </c>
      <c r="K59" s="2496"/>
      <c r="L59" s="2011">
        <f>'Exhibit G State'!L59</f>
        <v>81.5</v>
      </c>
      <c r="M59" s="2496"/>
      <c r="N59" s="2011">
        <f>'Exhibit G State'!N59</f>
        <v>99.200000000000074</v>
      </c>
      <c r="O59" s="2496"/>
      <c r="P59" s="2011">
        <f>'Exhibit G State'!P59</f>
        <v>76.899999999999949</v>
      </c>
      <c r="Q59" s="2496"/>
      <c r="R59" s="2011">
        <f>'Exhibit G State'!R59</f>
        <v>76.5</v>
      </c>
      <c r="S59" s="2496"/>
      <c r="T59" s="2011">
        <f>'Exhibit G State'!T59</f>
        <v>87.699999999999932</v>
      </c>
      <c r="U59" s="2496"/>
      <c r="V59" s="2011">
        <f>'Exhibit G State'!V59</f>
        <v>69.800000000000097</v>
      </c>
      <c r="W59" s="2496"/>
      <c r="X59" s="1979"/>
      <c r="Y59" s="2496"/>
      <c r="Z59" s="2011"/>
      <c r="AA59" s="2011"/>
      <c r="AB59" s="1974">
        <v>0</v>
      </c>
      <c r="AC59" s="2018"/>
      <c r="AD59" s="1979">
        <f t="shared" si="10"/>
        <v>829.7</v>
      </c>
      <c r="AE59" s="1974"/>
      <c r="AF59" s="2018"/>
      <c r="AG59" s="2011">
        <f>'Exhibit G State'!AG59</f>
        <v>264.7</v>
      </c>
      <c r="AH59" s="3417"/>
      <c r="AI59" s="1956"/>
      <c r="AJ59" s="1979">
        <f t="shared" si="13"/>
        <v>565</v>
      </c>
      <c r="AK59" s="2504"/>
      <c r="AL59" s="1708">
        <f>ROUND(IF(AG59=0,1,AJ59/ABS(AG59)),3)</f>
        <v>2.1339999999999999</v>
      </c>
    </row>
    <row r="60" spans="1:38" s="2163" customFormat="1" ht="15" customHeight="1">
      <c r="A60" s="2420"/>
      <c r="B60" s="2440" t="s">
        <v>931</v>
      </c>
      <c r="C60" s="2420"/>
      <c r="D60" s="2011">
        <f>'Exhibit G State'!D60+'Exhibit G Federal'!D32</f>
        <v>4.0999999999999996</v>
      </c>
      <c r="E60" s="2011"/>
      <c r="F60" s="2011">
        <f>'Exhibit G State'!F60+'Exhibit G Federal'!F32</f>
        <v>3.7</v>
      </c>
      <c r="G60" s="2011"/>
      <c r="H60" s="2011">
        <f>'Exhibit G State'!H60+'Exhibit G Federal'!H32</f>
        <v>3.8000000000000007</v>
      </c>
      <c r="I60" s="2484"/>
      <c r="J60" s="2011">
        <f>'Exhibit G State'!J60+'Exhibit G Federal'!J32</f>
        <v>3.9999999999999991</v>
      </c>
      <c r="K60" s="2496"/>
      <c r="L60" s="2011">
        <f>'Exhibit G State'!L60+'Exhibit G Federal'!L32</f>
        <v>4.0999999999999996</v>
      </c>
      <c r="M60" s="2496"/>
      <c r="N60" s="2011">
        <f>'Exhibit G State'!N60+'Exhibit G Federal'!N32</f>
        <v>3.5999999999999996</v>
      </c>
      <c r="O60" s="2496"/>
      <c r="P60" s="2011">
        <f>'Exhibit G State'!P60+'Exhibit G Federal'!P32</f>
        <v>3.6999999999999988</v>
      </c>
      <c r="Q60" s="2496"/>
      <c r="R60" s="2011">
        <f>'Exhibit G State'!R60+'Exhibit G Federal'!R32</f>
        <v>4.5000000000000009</v>
      </c>
      <c r="S60" s="2496"/>
      <c r="T60" s="2011">
        <f>'Exhibit G State'!T60+'Exhibit G Federal'!T32</f>
        <v>3.700000000000002</v>
      </c>
      <c r="U60" s="2496"/>
      <c r="V60" s="2011">
        <f>'Exhibit G State'!V60+'Exhibit G Federal'!V32</f>
        <v>4.7999999999999989</v>
      </c>
      <c r="W60" s="2496"/>
      <c r="X60" s="1979"/>
      <c r="Y60" s="2496"/>
      <c r="Z60" s="2011"/>
      <c r="AA60" s="2011"/>
      <c r="AB60" s="1974">
        <v>0</v>
      </c>
      <c r="AC60" s="2018"/>
      <c r="AD60" s="1979">
        <f>ROUND(SUM(D60:Z60),1)</f>
        <v>40</v>
      </c>
      <c r="AE60" s="1974"/>
      <c r="AF60" s="2018"/>
      <c r="AG60" s="2011">
        <f>'Exhibit G State'!AG60+'Exhibit G Federal'!AG32</f>
        <v>66.7</v>
      </c>
      <c r="AH60" s="3417"/>
      <c r="AI60" s="1956"/>
      <c r="AJ60" s="1979">
        <f t="shared" si="13"/>
        <v>-26.7</v>
      </c>
      <c r="AK60" s="2504"/>
      <c r="AL60" s="1703">
        <f>ROUND(IF(AG60=0,0,AJ60/ABS(AG60)),3)</f>
        <v>-0.4</v>
      </c>
    </row>
    <row r="61" spans="1:38" s="2163" customFormat="1" ht="15" customHeight="1">
      <c r="A61" s="2420"/>
      <c r="B61" s="2440" t="s">
        <v>948</v>
      </c>
      <c r="C61" s="2420"/>
      <c r="D61" s="2011">
        <f>'Exhibit G State'!D61+'Exhibit G Federal'!D33</f>
        <v>6.7</v>
      </c>
      <c r="E61" s="2011"/>
      <c r="F61" s="2011">
        <f>'Exhibit G State'!F61+'Exhibit G Federal'!F33</f>
        <v>1.8999999999999995</v>
      </c>
      <c r="G61" s="2011"/>
      <c r="H61" s="2011">
        <f>'Exhibit G State'!H61+'Exhibit G Federal'!H33</f>
        <v>4.9000000000000004</v>
      </c>
      <c r="I61" s="2484"/>
      <c r="J61" s="2011">
        <f>'Exhibit G State'!J61+'Exhibit G Federal'!J33</f>
        <v>3.2000000000000011</v>
      </c>
      <c r="K61" s="2496"/>
      <c r="L61" s="2011">
        <f>'Exhibit G State'!L61+'Exhibit G Federal'!L33</f>
        <v>1.4000000000000021</v>
      </c>
      <c r="M61" s="2496"/>
      <c r="N61" s="2011">
        <f>'Exhibit G State'!N61+'Exhibit G Federal'!N33</f>
        <v>5.0999999999999979</v>
      </c>
      <c r="O61" s="2496"/>
      <c r="P61" s="2011">
        <f>'Exhibit G State'!P61+'Exhibit G Federal'!P33</f>
        <v>3.4000000000000021</v>
      </c>
      <c r="Q61" s="2496"/>
      <c r="R61" s="2011">
        <f>'Exhibit G State'!R61+'Exhibit G Federal'!R33</f>
        <v>1.1999999999999993</v>
      </c>
      <c r="S61" s="2496"/>
      <c r="T61" s="2011">
        <f>'Exhibit G State'!T61+'Exhibit G Federal'!T33</f>
        <v>5.9999999999999929</v>
      </c>
      <c r="U61" s="2496"/>
      <c r="V61" s="2011">
        <f>'Exhibit G State'!V61+'Exhibit G Federal'!V33</f>
        <v>3.3000000000000043</v>
      </c>
      <c r="W61" s="2496"/>
      <c r="X61" s="1979"/>
      <c r="Y61" s="2496"/>
      <c r="Z61" s="2011"/>
      <c r="AA61" s="2011"/>
      <c r="AB61" s="1974">
        <v>0</v>
      </c>
      <c r="AC61" s="2018"/>
      <c r="AD61" s="1979">
        <f>ROUND(SUM(D61:Z61),1)</f>
        <v>37.1</v>
      </c>
      <c r="AE61" s="1974"/>
      <c r="AF61" s="2018"/>
      <c r="AG61" s="2011">
        <f>'Exhibit G State'!AG61+'Exhibit G Federal'!AG33</f>
        <v>38.6</v>
      </c>
      <c r="AH61" s="3417"/>
      <c r="AI61" s="1956"/>
      <c r="AJ61" s="1979">
        <f t="shared" si="13"/>
        <v>-1.5</v>
      </c>
      <c r="AK61" s="2504"/>
      <c r="AL61" s="1703">
        <f>ROUND(IF(AG61=0,0,AJ61/ABS(AG61)),3)</f>
        <v>-3.9E-2</v>
      </c>
    </row>
    <row r="62" spans="1:38" s="2163" customFormat="1" ht="15" customHeight="1">
      <c r="A62" s="2420"/>
      <c r="B62" s="2440" t="s">
        <v>1047</v>
      </c>
      <c r="C62" s="2420"/>
      <c r="D62" s="2011"/>
      <c r="E62" s="2484"/>
      <c r="F62" s="2011"/>
      <c r="G62" s="2484"/>
      <c r="H62" s="2011"/>
      <c r="I62" s="2484"/>
      <c r="J62" s="2011"/>
      <c r="K62" s="2496"/>
      <c r="L62" s="2011"/>
      <c r="M62" s="2496"/>
      <c r="N62" s="2011"/>
      <c r="O62" s="2496"/>
      <c r="P62" s="2011"/>
      <c r="Q62" s="2496"/>
      <c r="R62" s="2011"/>
      <c r="S62" s="2496"/>
      <c r="T62" s="2011"/>
      <c r="U62" s="2496"/>
      <c r="V62" s="2011"/>
      <c r="W62" s="2496"/>
      <c r="X62" s="1979"/>
      <c r="Y62" s="2496"/>
      <c r="Z62" s="2011"/>
      <c r="AA62" s="2011"/>
      <c r="AB62" s="1974"/>
      <c r="AC62" s="2018"/>
      <c r="AD62" s="1979"/>
      <c r="AE62" s="1974"/>
      <c r="AF62" s="2018"/>
      <c r="AG62" s="2011"/>
      <c r="AH62" s="3417"/>
      <c r="AI62" s="1956"/>
      <c r="AJ62" s="1979"/>
      <c r="AK62" s="2504"/>
      <c r="AL62" s="1797"/>
    </row>
    <row r="63" spans="1:38" s="2163" customFormat="1" ht="15" customHeight="1">
      <c r="A63" s="2420"/>
      <c r="B63" s="2440" t="s">
        <v>974</v>
      </c>
      <c r="C63" s="2420"/>
      <c r="D63" s="2011">
        <f>'Exhibit G State'!D63+'Exhibit G Federal'!D35</f>
        <v>0</v>
      </c>
      <c r="E63" s="2011"/>
      <c r="F63" s="2011">
        <f>'Exhibit G State'!F63+'Exhibit G Federal'!F35</f>
        <v>0</v>
      </c>
      <c r="G63" s="2011"/>
      <c r="H63" s="2011">
        <f>'Exhibit G State'!H63+'Exhibit G Federal'!H35</f>
        <v>0</v>
      </c>
      <c r="I63" s="2484"/>
      <c r="J63" s="2011">
        <f>'Exhibit G State'!J63+'Exhibit G Federal'!J35</f>
        <v>0</v>
      </c>
      <c r="K63" s="2496"/>
      <c r="L63" s="2011">
        <f>'Exhibit G State'!L63+'Exhibit G Federal'!L35</f>
        <v>0</v>
      </c>
      <c r="M63" s="2496"/>
      <c r="N63" s="2011">
        <f>'Exhibit G State'!N63+'Exhibit G Federal'!N35</f>
        <v>0</v>
      </c>
      <c r="O63" s="2496"/>
      <c r="P63" s="2011">
        <f>'Exhibit G State'!P63+'Exhibit G Federal'!P35</f>
        <v>0</v>
      </c>
      <c r="Q63" s="2496"/>
      <c r="R63" s="2011">
        <f>'Exhibit G State'!R63+'Exhibit G Federal'!R35</f>
        <v>0</v>
      </c>
      <c r="S63" s="2496"/>
      <c r="T63" s="2011">
        <f>'Exhibit G State'!T63+'Exhibit G Federal'!T35</f>
        <v>0</v>
      </c>
      <c r="U63" s="2496"/>
      <c r="V63" s="2011">
        <f>'Exhibit G State'!V63+'Exhibit G Federal'!V35</f>
        <v>0</v>
      </c>
      <c r="W63" s="2496"/>
      <c r="X63" s="1979"/>
      <c r="Y63" s="2496"/>
      <c r="Z63" s="2011"/>
      <c r="AA63" s="2011"/>
      <c r="AB63" s="1974">
        <v>0</v>
      </c>
      <c r="AC63" s="2018"/>
      <c r="AD63" s="1979">
        <f t="shared" si="10"/>
        <v>0</v>
      </c>
      <c r="AE63" s="1974"/>
      <c r="AF63" s="2018"/>
      <c r="AG63" s="2011">
        <f>'Exhibit G State'!AG63+'Exhibit G Federal'!AG35</f>
        <v>0</v>
      </c>
      <c r="AH63" s="3417"/>
      <c r="AI63" s="1956"/>
      <c r="AJ63" s="1979">
        <f t="shared" ref="AJ63:AJ67" si="14">ROUND(SUM(+AD63-AG63),1)</f>
        <v>0</v>
      </c>
      <c r="AK63" s="2504"/>
      <c r="AL63" s="1703">
        <f>ROUND(IF(AG63=0,0,AJ63/ABS(AG63)),3)</f>
        <v>0</v>
      </c>
    </row>
    <row r="64" spans="1:38" s="2163" customFormat="1" ht="15" customHeight="1">
      <c r="A64" s="2420"/>
      <c r="B64" s="2440" t="s">
        <v>975</v>
      </c>
      <c r="C64" s="2420"/>
      <c r="D64" s="2011">
        <f>'Exhibit G State'!D64+'Exhibit G Federal'!D36</f>
        <v>0</v>
      </c>
      <c r="E64" s="2011"/>
      <c r="F64" s="2011">
        <f>'Exhibit G State'!F64+'Exhibit G Federal'!F36</f>
        <v>0</v>
      </c>
      <c r="G64" s="2011"/>
      <c r="H64" s="2011">
        <f>'Exhibit G State'!H64+'Exhibit G Federal'!H36</f>
        <v>0</v>
      </c>
      <c r="I64" s="2484"/>
      <c r="J64" s="2011">
        <f>'Exhibit G State'!J64+'Exhibit G Federal'!J36</f>
        <v>5.9</v>
      </c>
      <c r="K64" s="2496"/>
      <c r="L64" s="2011">
        <f>'Exhibit G State'!L64+'Exhibit G Federal'!L36</f>
        <v>0</v>
      </c>
      <c r="M64" s="2496"/>
      <c r="N64" s="2011">
        <f>'Exhibit G State'!N64+'Exhibit G Federal'!N36</f>
        <v>0</v>
      </c>
      <c r="O64" s="2496"/>
      <c r="P64" s="2011">
        <f>'Exhibit G State'!P64+'Exhibit G Federal'!P36</f>
        <v>8.9</v>
      </c>
      <c r="Q64" s="2496"/>
      <c r="R64" s="2011">
        <f>'Exhibit G State'!R64+'Exhibit G Federal'!R36</f>
        <v>2.6999999999999993</v>
      </c>
      <c r="S64" s="2496"/>
      <c r="T64" s="2011">
        <f>'Exhibit G State'!T64+'Exhibit G Federal'!T36</f>
        <v>2.8000000000000007</v>
      </c>
      <c r="U64" s="2496"/>
      <c r="V64" s="2011">
        <f>'Exhibit G State'!V64+'Exhibit G Federal'!V36</f>
        <v>2.7000000000000011</v>
      </c>
      <c r="W64" s="2496"/>
      <c r="X64" s="1979"/>
      <c r="Y64" s="2496"/>
      <c r="Z64" s="2011"/>
      <c r="AA64" s="2011"/>
      <c r="AB64" s="1974">
        <v>0</v>
      </c>
      <c r="AC64" s="2018"/>
      <c r="AD64" s="1979">
        <f t="shared" si="10"/>
        <v>23</v>
      </c>
      <c r="AE64" s="1974"/>
      <c r="AF64" s="2018"/>
      <c r="AG64" s="2011">
        <f>'Exhibit G State'!AG64+'Exhibit G Federal'!AG36</f>
        <v>8.9</v>
      </c>
      <c r="AH64" s="3417"/>
      <c r="AI64" s="1956"/>
      <c r="AJ64" s="1979">
        <f t="shared" si="14"/>
        <v>14.1</v>
      </c>
      <c r="AK64" s="2504"/>
      <c r="AL64" s="1703">
        <f>ROUND(IF(AG64=0,1,AJ64/ABS(AG64)),3)</f>
        <v>1.5840000000000001</v>
      </c>
    </row>
    <row r="65" spans="1:38" s="2163" customFormat="1" ht="15" customHeight="1">
      <c r="A65" s="2420"/>
      <c r="B65" s="2440" t="s">
        <v>976</v>
      </c>
      <c r="C65" s="2420"/>
      <c r="D65" s="2011">
        <f>'Exhibit G State'!D65+'Exhibit G Federal'!D37</f>
        <v>2.7</v>
      </c>
      <c r="E65" s="2011"/>
      <c r="F65" s="2011">
        <f>'Exhibit G State'!F65+'Exhibit G Federal'!F37</f>
        <v>2.2999999999999998</v>
      </c>
      <c r="G65" s="2011"/>
      <c r="H65" s="2011">
        <f>'Exhibit G State'!H65+'Exhibit G Federal'!H37</f>
        <v>1.7000000000000002</v>
      </c>
      <c r="I65" s="2484"/>
      <c r="J65" s="2011">
        <f>'Exhibit G State'!J65+'Exhibit G Federal'!J37</f>
        <v>0.5</v>
      </c>
      <c r="K65" s="2496"/>
      <c r="L65" s="2011">
        <f>'Exhibit G State'!L65+'Exhibit G Federal'!L37</f>
        <v>0</v>
      </c>
      <c r="M65" s="2496"/>
      <c r="N65" s="2011">
        <f>'Exhibit G State'!N65+'Exhibit G Federal'!N37</f>
        <v>0</v>
      </c>
      <c r="O65" s="2496"/>
      <c r="P65" s="2011">
        <f>'Exhibit G State'!P65+'Exhibit G Federal'!P37</f>
        <v>0</v>
      </c>
      <c r="Q65" s="2496"/>
      <c r="R65" s="2011">
        <f>'Exhibit G State'!R65+'Exhibit G Federal'!R37</f>
        <v>0</v>
      </c>
      <c r="S65" s="2496"/>
      <c r="T65" s="2011">
        <f>'Exhibit G State'!T65+'Exhibit G Federal'!T37</f>
        <v>0</v>
      </c>
      <c r="U65" s="2496"/>
      <c r="V65" s="2011">
        <f>'Exhibit G State'!V65+'Exhibit G Federal'!V37</f>
        <v>0</v>
      </c>
      <c r="W65" s="2496"/>
      <c r="X65" s="1979"/>
      <c r="Y65" s="2496"/>
      <c r="Z65" s="2011"/>
      <c r="AA65" s="2011"/>
      <c r="AB65" s="1974">
        <v>0</v>
      </c>
      <c r="AC65" s="2018"/>
      <c r="AD65" s="1979">
        <f t="shared" si="10"/>
        <v>7.2</v>
      </c>
      <c r="AE65" s="1974"/>
      <c r="AF65" s="2018"/>
      <c r="AG65" s="2011">
        <f>'Exhibit G State'!AG65+'Exhibit G Federal'!AG37</f>
        <v>7.2</v>
      </c>
      <c r="AH65" s="3417"/>
      <c r="AI65" s="1956"/>
      <c r="AJ65" s="1979">
        <f t="shared" si="14"/>
        <v>0</v>
      </c>
      <c r="AK65" s="2504"/>
      <c r="AL65" s="1708">
        <f t="shared" ref="AL65:AL67" si="15">ROUND(IF(AG65=0,0,AJ65/ABS(AG65)),3)</f>
        <v>0</v>
      </c>
    </row>
    <row r="66" spans="1:38" s="2163" customFormat="1" ht="15" customHeight="1">
      <c r="A66" s="2420"/>
      <c r="B66" s="2440" t="s">
        <v>977</v>
      </c>
      <c r="C66" s="2420"/>
      <c r="D66" s="2011">
        <f>'Exhibit G State'!D66+'Exhibit G Federal'!D38</f>
        <v>0.2</v>
      </c>
      <c r="E66" s="2011"/>
      <c r="F66" s="2011">
        <f>'Exhibit G State'!F66+'Exhibit G Federal'!F38</f>
        <v>0</v>
      </c>
      <c r="G66" s="2011"/>
      <c r="H66" s="2011">
        <f>'Exhibit G State'!H66+'Exhibit G Federal'!H38</f>
        <v>0</v>
      </c>
      <c r="I66" s="2484"/>
      <c r="J66" s="2011">
        <f>'Exhibit G State'!J66+'Exhibit G Federal'!J38</f>
        <v>4.5999999999999996</v>
      </c>
      <c r="K66" s="2496"/>
      <c r="L66" s="2011">
        <f>'Exhibit G State'!L66+'Exhibit G Federal'!L38</f>
        <v>0.29999999999999982</v>
      </c>
      <c r="M66" s="2496"/>
      <c r="N66" s="2011">
        <f>'Exhibit G State'!N66+'Exhibit G Federal'!N38</f>
        <v>4.3000000000000016</v>
      </c>
      <c r="O66" s="2496"/>
      <c r="P66" s="2011">
        <f>'Exhibit G State'!P66+'Exhibit G Federal'!P38</f>
        <v>0.79999999999999893</v>
      </c>
      <c r="Q66" s="2496"/>
      <c r="R66" s="2011">
        <f>'Exhibit G State'!R66+'Exhibit G Federal'!R38</f>
        <v>8.6000000000000032</v>
      </c>
      <c r="S66" s="2496"/>
      <c r="T66" s="2011">
        <f>'Exhibit G State'!T66+'Exhibit G Federal'!T38</f>
        <v>2.0999999999999979</v>
      </c>
      <c r="U66" s="2496"/>
      <c r="V66" s="2011">
        <f>'Exhibit G State'!V66+'Exhibit G Federal'!V38</f>
        <v>2</v>
      </c>
      <c r="W66" s="2496"/>
      <c r="X66" s="1979"/>
      <c r="Y66" s="2496"/>
      <c r="Z66" s="2011"/>
      <c r="AA66" s="2011"/>
      <c r="AB66" s="1974">
        <v>0</v>
      </c>
      <c r="AC66" s="2018"/>
      <c r="AD66" s="1979">
        <f t="shared" si="10"/>
        <v>22.9</v>
      </c>
      <c r="AE66" s="1974"/>
      <c r="AF66" s="2018"/>
      <c r="AG66" s="2011">
        <f>'Exhibit G State'!AG66+'Exhibit G Federal'!AG38</f>
        <v>15.9</v>
      </c>
      <c r="AH66" s="3417"/>
      <c r="AI66" s="1956"/>
      <c r="AJ66" s="1979">
        <f t="shared" si="14"/>
        <v>7</v>
      </c>
      <c r="AK66" s="2504"/>
      <c r="AL66" s="1708">
        <f t="shared" si="15"/>
        <v>0.44</v>
      </c>
    </row>
    <row r="67" spans="1:38" s="2163" customFormat="1" ht="15" customHeight="1">
      <c r="A67" s="2420"/>
      <c r="B67" s="2440" t="s">
        <v>949</v>
      </c>
      <c r="C67" s="2420"/>
      <c r="D67" s="2011">
        <f>'Exhibit G State'!D67+'Exhibit G Federal'!D39</f>
        <v>41.8</v>
      </c>
      <c r="E67" s="2011"/>
      <c r="F67" s="2011">
        <f>'Exhibit G State'!F67+'Exhibit G Federal'!F39</f>
        <v>1.9000000000000057</v>
      </c>
      <c r="G67" s="2011"/>
      <c r="H67" s="2011">
        <f>'Exhibit G State'!H67+'Exhibit G Federal'!H39</f>
        <v>9</v>
      </c>
      <c r="I67" s="2484"/>
      <c r="J67" s="2011">
        <f>'Exhibit G State'!J67+'Exhibit G Federal'!J39</f>
        <v>2.0999999999999943</v>
      </c>
      <c r="K67" s="2496"/>
      <c r="L67" s="2011">
        <f>'Exhibit G State'!L67+'Exhibit G Federal'!L39</f>
        <v>16.400000000000006</v>
      </c>
      <c r="M67" s="2496"/>
      <c r="N67" s="2011">
        <f>'Exhibit G State'!N67+'Exhibit G Federal'!N39</f>
        <v>84.899999999999991</v>
      </c>
      <c r="O67" s="2496"/>
      <c r="P67" s="2011">
        <f>'Exhibit G State'!P67+'Exhibit G Federal'!P39</f>
        <v>77.2</v>
      </c>
      <c r="Q67" s="2496"/>
      <c r="R67" s="2011">
        <f>'Exhibit G State'!R67+'Exhibit G Federal'!R39</f>
        <v>24.800000000000011</v>
      </c>
      <c r="S67" s="2496"/>
      <c r="T67" s="2011">
        <f>'Exhibit G State'!T67+'Exhibit G Federal'!T39</f>
        <v>19.5</v>
      </c>
      <c r="U67" s="2496"/>
      <c r="V67" s="2011">
        <f>'Exhibit G State'!V67+'Exhibit G Federal'!V39</f>
        <v>35.399999999999906</v>
      </c>
      <c r="W67" s="2496"/>
      <c r="X67" s="1979"/>
      <c r="Y67" s="2496"/>
      <c r="Z67" s="2011"/>
      <c r="AA67" s="2011"/>
      <c r="AB67" s="1974">
        <v>0</v>
      </c>
      <c r="AC67" s="2018"/>
      <c r="AD67" s="1979">
        <f t="shared" si="10"/>
        <v>313</v>
      </c>
      <c r="AE67" s="1974"/>
      <c r="AF67" s="2018"/>
      <c r="AG67" s="2011">
        <f>'Exhibit G State'!AG67+'Exhibit G Federal'!AG39</f>
        <v>100.7</v>
      </c>
      <c r="AH67" s="3417"/>
      <c r="AI67" s="1956"/>
      <c r="AJ67" s="1979">
        <f t="shared" si="14"/>
        <v>212.3</v>
      </c>
      <c r="AK67" s="2504"/>
      <c r="AL67" s="1708">
        <f t="shared" si="15"/>
        <v>2.1080000000000001</v>
      </c>
    </row>
    <row r="68" spans="1:38" s="2163" customFormat="1" ht="15" customHeight="1">
      <c r="A68" s="2420"/>
      <c r="B68" s="2440" t="s">
        <v>1048</v>
      </c>
      <c r="C68" s="2420"/>
      <c r="D68" s="2011"/>
      <c r="E68" s="2011"/>
      <c r="F68" s="2011"/>
      <c r="G68" s="2484"/>
      <c r="H68" s="2011"/>
      <c r="I68" s="2484"/>
      <c r="J68" s="2011"/>
      <c r="K68" s="2496"/>
      <c r="L68" s="2011"/>
      <c r="M68" s="2496"/>
      <c r="N68" s="2011"/>
      <c r="O68" s="2496"/>
      <c r="P68" s="2011"/>
      <c r="Q68" s="2496"/>
      <c r="R68" s="2011"/>
      <c r="S68" s="2496"/>
      <c r="T68" s="2011"/>
      <c r="U68" s="2496"/>
      <c r="V68" s="2011"/>
      <c r="W68" s="2496"/>
      <c r="X68" s="1979"/>
      <c r="Y68" s="2496"/>
      <c r="Z68" s="2011"/>
      <c r="AA68" s="2011"/>
      <c r="AB68" s="1974"/>
      <c r="AC68" s="2018"/>
      <c r="AD68" s="1979"/>
      <c r="AE68" s="1974"/>
      <c r="AF68" s="2018"/>
      <c r="AG68" s="2011"/>
      <c r="AH68" s="3417"/>
      <c r="AI68" s="1956"/>
      <c r="AJ68" s="1979"/>
      <c r="AK68" s="2504"/>
      <c r="AL68" s="1797"/>
    </row>
    <row r="69" spans="1:38" s="2163" customFormat="1" ht="15" customHeight="1">
      <c r="A69" s="2420"/>
      <c r="B69" s="2440" t="s">
        <v>978</v>
      </c>
      <c r="C69" s="2420"/>
      <c r="D69" s="2011">
        <f>'Exhibit G State'!D69+'Exhibit G Federal'!D41</f>
        <v>45</v>
      </c>
      <c r="E69" s="2011"/>
      <c r="F69" s="2011">
        <f>'Exhibit G State'!F69+'Exhibit G Federal'!F41</f>
        <v>8.8999999999999986</v>
      </c>
      <c r="G69" s="2011"/>
      <c r="H69" s="2011">
        <f>'Exhibit G State'!H69+'Exhibit G Federal'!H41</f>
        <v>20.800000000000004</v>
      </c>
      <c r="I69" s="2484"/>
      <c r="J69" s="2011">
        <f>'Exhibit G State'!J69+'Exhibit G Federal'!J41</f>
        <v>8.3999999999999915</v>
      </c>
      <c r="K69" s="2496"/>
      <c r="L69" s="2011">
        <f>'Exhibit G State'!L69+'Exhibit G Federal'!L41</f>
        <v>8.6000000000000085</v>
      </c>
      <c r="M69" s="2496"/>
      <c r="N69" s="2011">
        <f>'Exhibit G State'!N69+'Exhibit G Federal'!N41</f>
        <v>8.2999999999999972</v>
      </c>
      <c r="O69" s="2496"/>
      <c r="P69" s="2011">
        <f>'Exhibit G State'!P69+'Exhibit G Federal'!P41</f>
        <v>8.2999999999999972</v>
      </c>
      <c r="Q69" s="2496"/>
      <c r="R69" s="2011">
        <f>'Exhibit G State'!R69+'Exhibit G Federal'!R41</f>
        <v>8.2000000000000028</v>
      </c>
      <c r="S69" s="2496"/>
      <c r="T69" s="2011">
        <f>'Exhibit G State'!T69+'Exhibit G Federal'!T41</f>
        <v>43.3</v>
      </c>
      <c r="U69" s="2496"/>
      <c r="V69" s="2011">
        <f>'Exhibit G State'!V69+'Exhibit G Federal'!V41</f>
        <v>7.8999999999999773</v>
      </c>
      <c r="W69" s="2496"/>
      <c r="X69" s="1979"/>
      <c r="Y69" s="2496"/>
      <c r="Z69" s="2011"/>
      <c r="AA69" s="2011"/>
      <c r="AB69" s="1974">
        <v>0</v>
      </c>
      <c r="AC69" s="2018"/>
      <c r="AD69" s="1979">
        <f t="shared" si="10"/>
        <v>167.7</v>
      </c>
      <c r="AE69" s="1974"/>
      <c r="AF69" s="2018"/>
      <c r="AG69" s="2011">
        <f>'Exhibit G State'!AG69+'Exhibit G Federal'!AG41</f>
        <v>119</v>
      </c>
      <c r="AH69" s="3417"/>
      <c r="AI69" s="1956"/>
      <c r="AJ69" s="1979">
        <f t="shared" ref="AJ69:AJ80" si="16">ROUND(SUM(+AD69-AG69),1)</f>
        <v>48.7</v>
      </c>
      <c r="AK69" s="2504"/>
      <c r="AL69" s="1708">
        <f>ROUND(IF(AG69=0,0,AJ69/ABS(AG69)),3)</f>
        <v>0.40899999999999997</v>
      </c>
    </row>
    <row r="70" spans="1:38" s="2163" customFormat="1" ht="15" customHeight="1">
      <c r="A70" s="2420"/>
      <c r="B70" s="2440" t="s">
        <v>979</v>
      </c>
      <c r="C70" s="2420"/>
      <c r="D70" s="2011">
        <f>'Exhibit G State'!D70+'Exhibit G Federal'!D42</f>
        <v>0.5</v>
      </c>
      <c r="E70" s="2011"/>
      <c r="F70" s="2011">
        <f>'Exhibit G State'!F70+'Exhibit G Federal'!F42</f>
        <v>0.60000000000000142</v>
      </c>
      <c r="G70" s="2011"/>
      <c r="H70" s="2011">
        <f>'Exhibit G State'!H70+'Exhibit G Federal'!H42</f>
        <v>0.59999999999999565</v>
      </c>
      <c r="I70" s="2484"/>
      <c r="J70" s="2011">
        <f>'Exhibit G State'!J70+'Exhibit G Federal'!J42</f>
        <v>0.60000000000000009</v>
      </c>
      <c r="K70" s="2496"/>
      <c r="L70" s="2011">
        <f>'Exhibit G State'!L70+'Exhibit G Federal'!L42</f>
        <v>0.39999999999999147</v>
      </c>
      <c r="M70" s="2496"/>
      <c r="N70" s="2011">
        <f>'Exhibit G State'!N70+'Exhibit G Federal'!N42</f>
        <v>0.40000000000003411</v>
      </c>
      <c r="O70" s="2496"/>
      <c r="P70" s="2011">
        <f>'Exhibit G State'!P70+'Exhibit G Federal'!P42</f>
        <v>0.69999999999998863</v>
      </c>
      <c r="Q70" s="2496"/>
      <c r="R70" s="2011">
        <f>'Exhibit G State'!R70+'Exhibit G Federal'!R42</f>
        <v>0.89999999999997726</v>
      </c>
      <c r="S70" s="2496"/>
      <c r="T70" s="2011">
        <f>'Exhibit G State'!T70+'Exhibit G Federal'!T42</f>
        <v>14.399999999999977</v>
      </c>
      <c r="U70" s="2496"/>
      <c r="V70" s="2011">
        <f>'Exhibit G State'!V70+'Exhibit G Federal'!V42</f>
        <v>0.80000000000001847</v>
      </c>
      <c r="W70" s="2496"/>
      <c r="X70" s="1979"/>
      <c r="Y70" s="2496"/>
      <c r="Z70" s="2011"/>
      <c r="AA70" s="2011"/>
      <c r="AB70" s="1974">
        <v>0</v>
      </c>
      <c r="AC70" s="2018"/>
      <c r="AD70" s="1979">
        <f t="shared" si="10"/>
        <v>19.899999999999999</v>
      </c>
      <c r="AE70" s="1974"/>
      <c r="AF70" s="2018"/>
      <c r="AG70" s="2011">
        <f>'Exhibit G State'!AG70+'Exhibit G Federal'!AG42</f>
        <v>18.2</v>
      </c>
      <c r="AH70" s="3417"/>
      <c r="AI70" s="1956"/>
      <c r="AJ70" s="1979">
        <f t="shared" si="16"/>
        <v>1.7</v>
      </c>
      <c r="AK70" s="2504"/>
      <c r="AL70" s="1703">
        <f>ROUND(IF(AG70=0,1,AJ70/ABS(AG70)),3)</f>
        <v>9.2999999999999999E-2</v>
      </c>
    </row>
    <row r="71" spans="1:38" s="2163" customFormat="1" ht="15" customHeight="1">
      <c r="A71" s="2420"/>
      <c r="B71" s="2440" t="s">
        <v>1251</v>
      </c>
      <c r="C71" s="2420"/>
      <c r="D71" s="2011">
        <f>'Exhibit G State'!D71</f>
        <v>0</v>
      </c>
      <c r="E71" s="2011"/>
      <c r="F71" s="2011">
        <f>'Exhibit G State'!F71</f>
        <v>0</v>
      </c>
      <c r="G71" s="2011"/>
      <c r="H71" s="2011">
        <f>'Exhibit G State'!H71</f>
        <v>0</v>
      </c>
      <c r="I71" s="3521"/>
      <c r="J71" s="2011">
        <f>'Exhibit G State'!J71</f>
        <v>0</v>
      </c>
      <c r="K71" s="3521"/>
      <c r="L71" s="2011">
        <f>'Exhibit G State'!L71</f>
        <v>0</v>
      </c>
      <c r="M71" s="3521"/>
      <c r="N71" s="2011">
        <f>'Exhibit G State'!N71</f>
        <v>0</v>
      </c>
      <c r="O71" s="3521"/>
      <c r="P71" s="2011">
        <f>'Exhibit G State'!P71</f>
        <v>0</v>
      </c>
      <c r="Q71" s="3521"/>
      <c r="R71" s="2011">
        <f>'Exhibit G State'!R71</f>
        <v>0</v>
      </c>
      <c r="S71" s="3521"/>
      <c r="T71" s="2011">
        <f>'Exhibit G State'!T71</f>
        <v>178</v>
      </c>
      <c r="U71" s="2496"/>
      <c r="V71" s="2011">
        <f>'Exhibit G State'!V71</f>
        <v>50</v>
      </c>
      <c r="W71" s="2496"/>
      <c r="X71" s="1979"/>
      <c r="Y71" s="2496"/>
      <c r="Z71" s="2011"/>
      <c r="AA71" s="2011"/>
      <c r="AB71" s="1974">
        <v>0</v>
      </c>
      <c r="AC71" s="2018"/>
      <c r="AD71" s="1979">
        <f>ROUND(SUM(D71:Z71),1)</f>
        <v>228</v>
      </c>
      <c r="AE71" s="1974"/>
      <c r="AF71" s="2018"/>
      <c r="AG71" s="2011">
        <f>'Exhibit G State'!AG71</f>
        <v>118</v>
      </c>
      <c r="AH71" s="3417"/>
      <c r="AI71" s="1956"/>
      <c r="AJ71" s="1979">
        <f t="shared" ref="AJ71" si="17">ROUND(SUM(+AD71-AG71),1)</f>
        <v>110</v>
      </c>
      <c r="AK71" s="2504"/>
      <c r="AL71" s="1703">
        <f>ROUND(IF(AG71=0,0,AJ71/ABS(AG71)),3)</f>
        <v>0.93200000000000005</v>
      </c>
    </row>
    <row r="72" spans="1:38" s="2163" customFormat="1" ht="15" customHeight="1">
      <c r="A72" s="2420"/>
      <c r="B72" s="2440" t="s">
        <v>980</v>
      </c>
      <c r="C72" s="2420"/>
      <c r="D72" s="2011">
        <f>'Exhibit G State'!D72+'Exhibit G Federal'!D43</f>
        <v>0.7</v>
      </c>
      <c r="E72" s="2011"/>
      <c r="F72" s="2011">
        <f>'Exhibit G State'!F72+'Exhibit G Federal'!F43</f>
        <v>0.8</v>
      </c>
      <c r="G72" s="2011"/>
      <c r="H72" s="2011">
        <f>'Exhibit G State'!H72+'Exhibit G Federal'!H43</f>
        <v>0.5</v>
      </c>
      <c r="I72" s="2484"/>
      <c r="J72" s="2011">
        <f>'Exhibit G State'!J72+'Exhibit G Federal'!J43</f>
        <v>0.29999999999999982</v>
      </c>
      <c r="K72" s="2496"/>
      <c r="L72" s="2011">
        <f>'Exhibit G State'!L72+'Exhibit G Federal'!L43</f>
        <v>0.20000000000000018</v>
      </c>
      <c r="M72" s="2496"/>
      <c r="N72" s="2011">
        <f>'Exhibit G State'!N72+'Exhibit G Federal'!N43</f>
        <v>1.7000000000000002</v>
      </c>
      <c r="O72" s="2496"/>
      <c r="P72" s="2011">
        <f>'Exhibit G State'!P72+'Exhibit G Federal'!P43</f>
        <v>9.9999999999999645E-2</v>
      </c>
      <c r="Q72" s="2496"/>
      <c r="R72" s="2011">
        <f>'Exhibit G State'!R72+'Exhibit G Federal'!R43</f>
        <v>0.20000000000000018</v>
      </c>
      <c r="S72" s="2496"/>
      <c r="T72" s="2011">
        <f>'Exhibit G State'!T72+'Exhibit G Federal'!T43</f>
        <v>0.29999999999999982</v>
      </c>
      <c r="U72" s="2496"/>
      <c r="V72" s="2011">
        <f>'Exhibit G State'!V72+'Exhibit G Federal'!V43</f>
        <v>0.7</v>
      </c>
      <c r="W72" s="2496"/>
      <c r="X72" s="1979"/>
      <c r="Y72" s="2496"/>
      <c r="Z72" s="2011"/>
      <c r="AA72" s="2011"/>
      <c r="AB72" s="1974">
        <v>0</v>
      </c>
      <c r="AC72" s="2018"/>
      <c r="AD72" s="1979">
        <f t="shared" si="10"/>
        <v>5.5</v>
      </c>
      <c r="AE72" s="1974"/>
      <c r="AF72" s="2018"/>
      <c r="AG72" s="2011">
        <f>'Exhibit G State'!AG72+'Exhibit G Federal'!AG43</f>
        <v>33.300000000000004</v>
      </c>
      <c r="AH72" s="3417"/>
      <c r="AI72" s="1956"/>
      <c r="AJ72" s="1979">
        <f t="shared" si="16"/>
        <v>-27.8</v>
      </c>
      <c r="AK72" s="2504"/>
      <c r="AL72" s="1708">
        <f t="shared" ref="AL72:AL75" si="18">ROUND(IF(AG72=0,0,AJ72/ABS(AG72)),3)</f>
        <v>-0.83499999999999996</v>
      </c>
    </row>
    <row r="73" spans="1:38" s="2163" customFormat="1" ht="15" customHeight="1">
      <c r="A73" s="2420"/>
      <c r="B73" s="2440" t="s">
        <v>981</v>
      </c>
      <c r="C73" s="2420"/>
      <c r="D73" s="2011">
        <f>'Exhibit G State'!D73+'Exhibit G Federal'!D44</f>
        <v>0</v>
      </c>
      <c r="E73" s="2011"/>
      <c r="F73" s="2011">
        <f>'Exhibit G State'!F73+'Exhibit G Federal'!F44</f>
        <v>0</v>
      </c>
      <c r="G73" s="2011"/>
      <c r="H73" s="2011">
        <f>'Exhibit G State'!H73+'Exhibit G Federal'!H44</f>
        <v>0</v>
      </c>
      <c r="I73" s="2484"/>
      <c r="J73" s="2011">
        <f>'Exhibit G State'!J73+'Exhibit G Federal'!J44</f>
        <v>0</v>
      </c>
      <c r="K73" s="2496"/>
      <c r="L73" s="2011">
        <f>'Exhibit G State'!L73+'Exhibit G Federal'!L44</f>
        <v>0</v>
      </c>
      <c r="M73" s="2496"/>
      <c r="N73" s="2011">
        <f>'Exhibit G State'!N73+'Exhibit G Federal'!N44</f>
        <v>0.1</v>
      </c>
      <c r="O73" s="2496"/>
      <c r="P73" s="2011">
        <f>'Exhibit G State'!P73+'Exhibit G Federal'!P44</f>
        <v>0</v>
      </c>
      <c r="Q73" s="2496"/>
      <c r="R73" s="2011">
        <f>'Exhibit G State'!R73+'Exhibit G Federal'!R44</f>
        <v>4.5</v>
      </c>
      <c r="S73" s="2496"/>
      <c r="T73" s="2011">
        <f>'Exhibit G State'!T73+'Exhibit G Federal'!T44</f>
        <v>0</v>
      </c>
      <c r="U73" s="2496"/>
      <c r="V73" s="2011">
        <f>'Exhibit G State'!V73+'Exhibit G Federal'!V44</f>
        <v>0</v>
      </c>
      <c r="W73" s="2496"/>
      <c r="X73" s="1979"/>
      <c r="Y73" s="2496"/>
      <c r="Z73" s="2011"/>
      <c r="AA73" s="2011"/>
      <c r="AB73" s="1974">
        <v>0</v>
      </c>
      <c r="AC73" s="2018"/>
      <c r="AD73" s="1979">
        <f t="shared" si="10"/>
        <v>4.5999999999999996</v>
      </c>
      <c r="AE73" s="1974"/>
      <c r="AF73" s="2018"/>
      <c r="AG73" s="2011">
        <f>'Exhibit G State'!AG73+'Exhibit G Federal'!AG44</f>
        <v>0</v>
      </c>
      <c r="AH73" s="3417"/>
      <c r="AI73" s="1956"/>
      <c r="AJ73" s="1979">
        <f t="shared" si="16"/>
        <v>4.5999999999999996</v>
      </c>
      <c r="AK73" s="2504"/>
      <c r="AL73" s="1708">
        <f>ROUND(IF(AG73=0,1,AJ73/ABS(AG73)),3)</f>
        <v>1</v>
      </c>
    </row>
    <row r="74" spans="1:38" s="2163" customFormat="1" ht="15" customHeight="1">
      <c r="A74" s="2420"/>
      <c r="B74" s="2440" t="s">
        <v>982</v>
      </c>
      <c r="C74" s="2420"/>
      <c r="D74" s="2011">
        <f>'Exhibit G State'!D74+'Exhibit G Federal'!D45</f>
        <v>214.29999999999998</v>
      </c>
      <c r="E74" s="2011"/>
      <c r="F74" s="2011">
        <f>'Exhibit G State'!F74+'Exhibit G Federal'!F45</f>
        <v>178.70000000000002</v>
      </c>
      <c r="G74" s="2011"/>
      <c r="H74" s="2011">
        <f>'Exhibit G State'!H74+'Exhibit G Federal'!H45</f>
        <v>221.10000000000005</v>
      </c>
      <c r="I74" s="2484"/>
      <c r="J74" s="2011">
        <f>'Exhibit G State'!J74+'Exhibit G Federal'!J45</f>
        <v>204.1</v>
      </c>
      <c r="K74" s="2496"/>
      <c r="L74" s="2011">
        <f>'Exhibit G State'!L74+'Exhibit G Federal'!L45</f>
        <v>195.79999999999998</v>
      </c>
      <c r="M74" s="2496"/>
      <c r="N74" s="2011">
        <f>'Exhibit G State'!N74+'Exhibit G Federal'!N45</f>
        <v>204.20000000000002</v>
      </c>
      <c r="O74" s="2496"/>
      <c r="P74" s="2011">
        <f>'Exhibit G State'!P74+'Exhibit G Federal'!P45</f>
        <v>210.00000000000003</v>
      </c>
      <c r="Q74" s="2496"/>
      <c r="R74" s="2011">
        <f>'Exhibit G State'!R74+'Exhibit G Federal'!R45</f>
        <v>219.09999999999977</v>
      </c>
      <c r="S74" s="2496"/>
      <c r="T74" s="2011">
        <f>'Exhibit G State'!T74+'Exhibit G Federal'!T45</f>
        <v>214.90000000000023</v>
      </c>
      <c r="U74" s="2496"/>
      <c r="V74" s="2011">
        <f>'Exhibit G State'!V74+'Exhibit G Federal'!V45</f>
        <v>196.29999999999993</v>
      </c>
      <c r="W74" s="2496"/>
      <c r="X74" s="1979"/>
      <c r="Y74" s="2496"/>
      <c r="Z74" s="2011"/>
      <c r="AA74" s="2011"/>
      <c r="AB74" s="1974">
        <v>0</v>
      </c>
      <c r="AC74" s="2018"/>
      <c r="AD74" s="1979">
        <f t="shared" si="10"/>
        <v>2058.5</v>
      </c>
      <c r="AE74" s="1974"/>
      <c r="AF74" s="2018"/>
      <c r="AG74" s="2011">
        <f>'Exhibit G State'!AG74+'Exhibit G Federal'!AG45</f>
        <v>2518.3000000000002</v>
      </c>
      <c r="AH74" s="3417"/>
      <c r="AI74" s="1956"/>
      <c r="AJ74" s="1979">
        <f t="shared" si="16"/>
        <v>-459.8</v>
      </c>
      <c r="AK74" s="2504"/>
      <c r="AL74" s="1703">
        <f t="shared" si="18"/>
        <v>-0.183</v>
      </c>
    </row>
    <row r="75" spans="1:38" s="2163" customFormat="1" ht="15" customHeight="1">
      <c r="A75" s="2420"/>
      <c r="B75" s="2440" t="s">
        <v>983</v>
      </c>
      <c r="C75" s="2420"/>
      <c r="D75" s="2011">
        <f>'Exhibit G State'!D75+'Exhibit G Federal'!D46</f>
        <v>11.3</v>
      </c>
      <c r="E75" s="2011"/>
      <c r="F75" s="2011">
        <f>'Exhibit G State'!F75+'Exhibit G Federal'!F46</f>
        <v>7.9</v>
      </c>
      <c r="G75" s="2011"/>
      <c r="H75" s="2011">
        <f>'Exhibit G State'!H75+'Exhibit G Federal'!H46</f>
        <v>14.2</v>
      </c>
      <c r="I75" s="2484"/>
      <c r="J75" s="2011">
        <f>'Exhibit G State'!J75+'Exhibit G Federal'!J46</f>
        <v>12.3</v>
      </c>
      <c r="K75" s="2496"/>
      <c r="L75" s="2011">
        <f>'Exhibit G State'!L75+'Exhibit G Federal'!L46</f>
        <v>7.9999999999999982</v>
      </c>
      <c r="M75" s="2496"/>
      <c r="N75" s="2011">
        <f>'Exhibit G State'!N75+'Exhibit G Federal'!N46</f>
        <v>14.7</v>
      </c>
      <c r="O75" s="2496"/>
      <c r="P75" s="2011">
        <f>'Exhibit G State'!P75+'Exhibit G Federal'!P46</f>
        <v>15.700000000000001</v>
      </c>
      <c r="Q75" s="2496"/>
      <c r="R75" s="2011">
        <f>'Exhibit G State'!R75+'Exhibit G Federal'!R46</f>
        <v>7.1000000000000032</v>
      </c>
      <c r="S75" s="2496"/>
      <c r="T75" s="2011">
        <f>'Exhibit G State'!T75+'Exhibit G Federal'!T46</f>
        <v>11.299999999999994</v>
      </c>
      <c r="U75" s="2496"/>
      <c r="V75" s="2011">
        <f>'Exhibit G State'!V75+'Exhibit G Federal'!V46</f>
        <v>13.699999999999998</v>
      </c>
      <c r="W75" s="2496"/>
      <c r="X75" s="1979"/>
      <c r="Y75" s="2496"/>
      <c r="Z75" s="2011"/>
      <c r="AA75" s="2011"/>
      <c r="AB75" s="1974">
        <v>0</v>
      </c>
      <c r="AC75" s="2018"/>
      <c r="AD75" s="1979">
        <f t="shared" si="10"/>
        <v>116.2</v>
      </c>
      <c r="AE75" s="1974"/>
      <c r="AF75" s="2018"/>
      <c r="AG75" s="2011">
        <f>'Exhibit G State'!AG75+'Exhibit G Federal'!AG46</f>
        <v>120.7</v>
      </c>
      <c r="AH75" s="3417"/>
      <c r="AI75" s="1956"/>
      <c r="AJ75" s="1979">
        <f t="shared" si="16"/>
        <v>-4.5</v>
      </c>
      <c r="AK75" s="2504"/>
      <c r="AL75" s="1703">
        <f t="shared" si="18"/>
        <v>-3.6999999999999998E-2</v>
      </c>
    </row>
    <row r="76" spans="1:38" s="2163" customFormat="1" ht="15" customHeight="1">
      <c r="A76" s="2420"/>
      <c r="B76" s="2440" t="s">
        <v>984</v>
      </c>
      <c r="C76" s="2420"/>
      <c r="D76" s="2011">
        <f>'Exhibit G State'!D76+'Exhibit G Federal'!D47</f>
        <v>1.2</v>
      </c>
      <c r="E76" s="2011"/>
      <c r="F76" s="2011">
        <f>'Exhibit G State'!F76+'Exhibit G Federal'!F47</f>
        <v>9.8000000000000007</v>
      </c>
      <c r="G76" s="2011"/>
      <c r="H76" s="2011">
        <f>'Exhibit G State'!H76+'Exhibit G Federal'!H47</f>
        <v>7.1999999999999993</v>
      </c>
      <c r="I76" s="2484"/>
      <c r="J76" s="2011">
        <f>'Exhibit G State'!J76+'Exhibit G Federal'!J47</f>
        <v>0.60000000000000142</v>
      </c>
      <c r="K76" s="2496"/>
      <c r="L76" s="2011">
        <f>'Exhibit G State'!L76+'Exhibit G Federal'!L47</f>
        <v>0.89999999999999858</v>
      </c>
      <c r="M76" s="2496"/>
      <c r="N76" s="2011">
        <f>'Exhibit G State'!N76+'Exhibit G Federal'!N47</f>
        <v>3.9000000000000021</v>
      </c>
      <c r="O76" s="2496"/>
      <c r="P76" s="2011">
        <f>'Exhibit G State'!P76+'Exhibit G Federal'!P47</f>
        <v>17.199999999999992</v>
      </c>
      <c r="Q76" s="2496"/>
      <c r="R76" s="2011">
        <f>'Exhibit G State'!R76+'Exhibit G Federal'!R47</f>
        <v>2.1000000000000014</v>
      </c>
      <c r="S76" s="2496"/>
      <c r="T76" s="2011">
        <f>'Exhibit G State'!T76+'Exhibit G Federal'!T47</f>
        <v>0.19999999999999929</v>
      </c>
      <c r="U76" s="2496"/>
      <c r="V76" s="2011">
        <f>'Exhibit G State'!V76+'Exhibit G Federal'!V47</f>
        <v>5.7999999999999972</v>
      </c>
      <c r="W76" s="2496"/>
      <c r="X76" s="1979"/>
      <c r="Y76" s="2496"/>
      <c r="Z76" s="2011"/>
      <c r="AA76" s="2011"/>
      <c r="AB76" s="1974">
        <v>0</v>
      </c>
      <c r="AC76" s="2018"/>
      <c r="AD76" s="1979">
        <f t="shared" si="10"/>
        <v>48.9</v>
      </c>
      <c r="AE76" s="1974"/>
      <c r="AF76" s="2018"/>
      <c r="AG76" s="2011">
        <f>'Exhibit G State'!AG76+'Exhibit G Federal'!AG47</f>
        <v>73.7</v>
      </c>
      <c r="AH76" s="3417"/>
      <c r="AI76" s="1956"/>
      <c r="AJ76" s="1979">
        <f t="shared" si="16"/>
        <v>-24.8</v>
      </c>
      <c r="AK76" s="2504"/>
      <c r="AL76" s="1708">
        <f>ROUND(IF(AG76=0,1,AJ76/ABS(AG76)),3)</f>
        <v>-0.33600000000000002</v>
      </c>
    </row>
    <row r="77" spans="1:38" s="2163" customFormat="1" ht="15" customHeight="1">
      <c r="A77" s="2420"/>
      <c r="B77" s="2440" t="s">
        <v>985</v>
      </c>
      <c r="C77" s="2420"/>
      <c r="D77" s="2011">
        <f>'Exhibit G State'!D77+'Exhibit G Federal'!D48</f>
        <v>2.4</v>
      </c>
      <c r="E77" s="2011"/>
      <c r="F77" s="2011">
        <f>'Exhibit G State'!F77+'Exhibit G Federal'!F48</f>
        <v>5.6</v>
      </c>
      <c r="G77" s="2011"/>
      <c r="H77" s="2011">
        <f>'Exhibit G State'!H77+'Exhibit G Federal'!H48</f>
        <v>1.3000000000000007</v>
      </c>
      <c r="I77" s="2484"/>
      <c r="J77" s="2011">
        <f>'Exhibit G State'!J77+'Exhibit G Federal'!J48</f>
        <v>1.8999999999999986</v>
      </c>
      <c r="K77" s="2496"/>
      <c r="L77" s="2011">
        <f>'Exhibit G State'!L77+'Exhibit G Federal'!L48</f>
        <v>1.4000000000000004</v>
      </c>
      <c r="M77" s="2496"/>
      <c r="N77" s="2011">
        <f>'Exhibit G State'!N77+'Exhibit G Federal'!N48</f>
        <v>1.2000000000000011</v>
      </c>
      <c r="O77" s="2496"/>
      <c r="P77" s="2011">
        <f>'Exhibit G State'!P77+'Exhibit G Federal'!P48</f>
        <v>1.0999999999999996</v>
      </c>
      <c r="Q77" s="2496"/>
      <c r="R77" s="2011">
        <f>'Exhibit G State'!R77+'Exhibit G Federal'!R48</f>
        <v>5</v>
      </c>
      <c r="S77" s="2496"/>
      <c r="T77" s="2011">
        <f>'Exhibit G State'!T77+'Exhibit G Federal'!T48</f>
        <v>1.5</v>
      </c>
      <c r="U77" s="2496"/>
      <c r="V77" s="2011">
        <f>'Exhibit G State'!V77+'Exhibit G Federal'!V48</f>
        <v>-0.59999999999999787</v>
      </c>
      <c r="W77" s="2496"/>
      <c r="X77" s="1979"/>
      <c r="Y77" s="2496"/>
      <c r="Z77" s="2011"/>
      <c r="AA77" s="2011"/>
      <c r="AB77" s="1974">
        <v>0</v>
      </c>
      <c r="AC77" s="2018"/>
      <c r="AD77" s="1979">
        <f t="shared" si="10"/>
        <v>20.8</v>
      </c>
      <c r="AE77" s="1974"/>
      <c r="AF77" s="2018"/>
      <c r="AG77" s="2011">
        <f>'Exhibit G State'!AG77+'Exhibit G Federal'!AG48</f>
        <v>44.3</v>
      </c>
      <c r="AH77" s="3417"/>
      <c r="AI77" s="1956"/>
      <c r="AJ77" s="1979">
        <f t="shared" si="16"/>
        <v>-23.5</v>
      </c>
      <c r="AK77" s="2504"/>
      <c r="AL77" s="1703">
        <f>ROUND(IF(AG77=0,0,AJ77/ABS(AG77)),3)</f>
        <v>-0.53</v>
      </c>
    </row>
    <row r="78" spans="1:38" s="2163" customFormat="1" ht="15" customHeight="1">
      <c r="A78" s="2420"/>
      <c r="B78" s="2440" t="s">
        <v>986</v>
      </c>
      <c r="C78" s="2420"/>
      <c r="D78" s="2011">
        <f>'Exhibit G State'!D78+'Exhibit G Federal'!D49</f>
        <v>64.8</v>
      </c>
      <c r="E78" s="2011"/>
      <c r="F78" s="2011">
        <f>'Exhibit G State'!F78+'Exhibit G Federal'!F49</f>
        <v>38.600000000000009</v>
      </c>
      <c r="G78" s="2011"/>
      <c r="H78" s="2011">
        <f>'Exhibit G State'!H78+'Exhibit G Federal'!H49</f>
        <v>58.499999999999993</v>
      </c>
      <c r="I78" s="2484"/>
      <c r="J78" s="2011">
        <f>'Exhibit G State'!J78+'Exhibit G Federal'!J49</f>
        <v>60.400000000000006</v>
      </c>
      <c r="K78" s="2496"/>
      <c r="L78" s="2011">
        <f>'Exhibit G State'!L78+'Exhibit G Federal'!L49</f>
        <v>53.399999999999991</v>
      </c>
      <c r="M78" s="2496"/>
      <c r="N78" s="2011">
        <f>'Exhibit G State'!N78+'Exhibit G Federal'!N49</f>
        <v>47.700000000000038</v>
      </c>
      <c r="O78" s="2496"/>
      <c r="P78" s="2011">
        <f>'Exhibit G State'!P78+'Exhibit G Federal'!P49</f>
        <v>37.599999999999987</v>
      </c>
      <c r="Q78" s="2496"/>
      <c r="R78" s="2011">
        <f>'Exhibit G State'!R78+'Exhibit G Federal'!R49</f>
        <v>42.700000000000024</v>
      </c>
      <c r="S78" s="2496"/>
      <c r="T78" s="2011">
        <f>'Exhibit G State'!T78+'Exhibit G Federal'!T49</f>
        <v>48.499999999999986</v>
      </c>
      <c r="U78" s="2496"/>
      <c r="V78" s="2011">
        <f>'Exhibit G State'!V78+'Exhibit G Federal'!V49</f>
        <v>67.399999999999977</v>
      </c>
      <c r="W78" s="2496"/>
      <c r="X78" s="1979"/>
      <c r="Y78" s="2496"/>
      <c r="Z78" s="2011"/>
      <c r="AA78" s="2011"/>
      <c r="AB78" s="1974">
        <v>0</v>
      </c>
      <c r="AC78" s="2018"/>
      <c r="AD78" s="1979">
        <f t="shared" si="10"/>
        <v>519.6</v>
      </c>
      <c r="AE78" s="1974"/>
      <c r="AF78" s="2018"/>
      <c r="AG78" s="2011">
        <f>'Exhibit G State'!AG78+'Exhibit G Federal'!AG49</f>
        <v>321.69999999999993</v>
      </c>
      <c r="AH78" s="3417"/>
      <c r="AI78" s="1956"/>
      <c r="AJ78" s="1979">
        <f t="shared" si="16"/>
        <v>197.9</v>
      </c>
      <c r="AK78" s="2504"/>
      <c r="AL78" s="1708">
        <f>ROUND(IF(AG78=0,0,AJ78/ABS(AG78)),3)</f>
        <v>0.61499999999999999</v>
      </c>
    </row>
    <row r="79" spans="1:38" s="2163" customFormat="1" ht="15" customHeight="1">
      <c r="A79" s="2420"/>
      <c r="B79" s="2440" t="s">
        <v>959</v>
      </c>
      <c r="C79" s="2420"/>
      <c r="D79" s="2011">
        <f>'Exhibit G State'!D79+'Exhibit G Federal'!D50</f>
        <v>2.2000000000000002</v>
      </c>
      <c r="E79" s="2011"/>
      <c r="F79" s="2011">
        <f>'Exhibit G State'!F79+'Exhibit G Federal'!F50</f>
        <v>0.5</v>
      </c>
      <c r="G79" s="2011"/>
      <c r="H79" s="2011">
        <f>'Exhibit G State'!H79+'Exhibit G Federal'!H50</f>
        <v>1.7000000000000002</v>
      </c>
      <c r="I79" s="2484"/>
      <c r="J79" s="2011">
        <f>'Exhibit G State'!J79+'Exhibit G Federal'!J50</f>
        <v>1.1999999999999993</v>
      </c>
      <c r="K79" s="2496"/>
      <c r="L79" s="2011">
        <f>'Exhibit G State'!L79+'Exhibit G Federal'!L50</f>
        <v>0.90000000000000036</v>
      </c>
      <c r="M79" s="2496"/>
      <c r="N79" s="2011">
        <f>'Exhibit G State'!N79+'Exhibit G Federal'!N50</f>
        <v>3</v>
      </c>
      <c r="O79" s="2496"/>
      <c r="P79" s="2011">
        <f>'Exhibit G State'!P79+'Exhibit G Federal'!P50</f>
        <v>8.5000000000000018</v>
      </c>
      <c r="Q79" s="2496"/>
      <c r="R79" s="2011">
        <f>'Exhibit G State'!R79+'Exhibit G Federal'!R50</f>
        <v>2</v>
      </c>
      <c r="S79" s="2496"/>
      <c r="T79" s="2011">
        <f>'Exhibit G State'!T79+'Exhibit G Federal'!T50</f>
        <v>1.3000000000000007</v>
      </c>
      <c r="U79" s="2496"/>
      <c r="V79" s="2011">
        <f>'Exhibit G State'!V79+'Exhibit G Federal'!V50</f>
        <v>0.59999999999999787</v>
      </c>
      <c r="W79" s="2496"/>
      <c r="X79" s="1979"/>
      <c r="Y79" s="2496"/>
      <c r="Z79" s="2011"/>
      <c r="AA79" s="2011"/>
      <c r="AB79" s="1974">
        <v>0</v>
      </c>
      <c r="AC79" s="2018"/>
      <c r="AD79" s="1974">
        <f t="shared" si="10"/>
        <v>21.9</v>
      </c>
      <c r="AE79" s="1974"/>
      <c r="AF79" s="2018"/>
      <c r="AG79" s="2011">
        <f>'Exhibit G State'!AG79+'Exhibit G Federal'!AG50</f>
        <v>7.5</v>
      </c>
      <c r="AH79" s="3417"/>
      <c r="AI79" s="1956"/>
      <c r="AJ79" s="1979">
        <f t="shared" si="16"/>
        <v>14.4</v>
      </c>
      <c r="AK79" s="2504"/>
      <c r="AL79" s="1703">
        <f>ROUND(IF(AG79=0,0,AJ79/ABS(AG79)),3)</f>
        <v>1.92</v>
      </c>
    </row>
    <row r="80" spans="1:38" s="2163" customFormat="1" ht="15" customHeight="1">
      <c r="A80" s="2420"/>
      <c r="B80" s="2440" t="s">
        <v>960</v>
      </c>
      <c r="C80" s="2420"/>
      <c r="D80" s="2011">
        <f>'Exhibit G State'!D80+'Exhibit G Federal'!D51</f>
        <v>-75.7</v>
      </c>
      <c r="E80" s="2011"/>
      <c r="F80" s="2011">
        <f>'Exhibit G State'!F80+'Exhibit G Federal'!F51</f>
        <v>41.6</v>
      </c>
      <c r="G80" s="2011"/>
      <c r="H80" s="2011">
        <f>'Exhibit G State'!H80+'Exhibit G Federal'!H51</f>
        <v>51.300000000000004</v>
      </c>
      <c r="I80" s="2484"/>
      <c r="J80" s="2011">
        <f>'Exhibit G State'!J80+'Exhibit G Federal'!J51</f>
        <v>56.6</v>
      </c>
      <c r="K80" s="2496"/>
      <c r="L80" s="2011">
        <f>'Exhibit G State'!L80+'Exhibit G Federal'!L51</f>
        <v>203.99999999999997</v>
      </c>
      <c r="M80" s="2496"/>
      <c r="N80" s="2011">
        <f>'Exhibit G State'!N80+'Exhibit G Federal'!N51</f>
        <v>243.30000000000004</v>
      </c>
      <c r="O80" s="2496"/>
      <c r="P80" s="2011">
        <f>'Exhibit G State'!P80+'Exhibit G Federal'!P51</f>
        <v>125.10000000000005</v>
      </c>
      <c r="Q80" s="2496"/>
      <c r="R80" s="2011">
        <f>'Exhibit G State'!R80+'Exhibit G Federal'!R51</f>
        <v>31.299999999999955</v>
      </c>
      <c r="S80" s="2496"/>
      <c r="T80" s="2011">
        <f>'Exhibit G State'!T80+'Exhibit G Federal'!T51</f>
        <v>2.7000000000000455</v>
      </c>
      <c r="U80" s="2496"/>
      <c r="V80" s="2011">
        <f>'Exhibit G State'!V80+'Exhibit G Federal'!V51</f>
        <v>182.29999999999993</v>
      </c>
      <c r="W80" s="2496"/>
      <c r="X80" s="1979"/>
      <c r="Y80" s="2496"/>
      <c r="Z80" s="2011"/>
      <c r="AA80" s="2011"/>
      <c r="AB80" s="1974">
        <v>0</v>
      </c>
      <c r="AC80" s="2018"/>
      <c r="AD80" s="1974">
        <f t="shared" si="10"/>
        <v>862.5</v>
      </c>
      <c r="AE80" s="1974"/>
      <c r="AF80" s="2018"/>
      <c r="AG80" s="2011">
        <f>'Exhibit G State'!AG80+'Exhibit G Federal'!AG51</f>
        <v>903</v>
      </c>
      <c r="AH80" s="3417"/>
      <c r="AI80" s="1956"/>
      <c r="AJ80" s="1979">
        <f t="shared" si="16"/>
        <v>-40.5</v>
      </c>
      <c r="AK80" s="2504"/>
      <c r="AL80" s="1703">
        <f>ROUND(IF(AG80=0,0,AJ80/ABS(AG80)),3)</f>
        <v>-4.4999999999999998E-2</v>
      </c>
    </row>
    <row r="81" spans="1:45" s="2510" customFormat="1" ht="15" customHeight="1">
      <c r="A81" s="2507"/>
      <c r="B81" s="2428" t="s">
        <v>1116</v>
      </c>
      <c r="C81" s="2507"/>
      <c r="D81" s="1444">
        <f>ROUND(SUM(D41:D80),1)</f>
        <v>1332.5</v>
      </c>
      <c r="E81" s="2484"/>
      <c r="F81" s="1444">
        <f>ROUND(SUM(F41:F80),1)</f>
        <v>1299</v>
      </c>
      <c r="G81" s="2484"/>
      <c r="H81" s="2021">
        <f>ROUND(SUM(H41:H80),1)</f>
        <v>1574.5</v>
      </c>
      <c r="I81" s="2484"/>
      <c r="J81" s="2021">
        <f>ROUND(SUM(J41:J80),1)</f>
        <v>1412.4</v>
      </c>
      <c r="K81" s="2496"/>
      <c r="L81" s="1444">
        <f>ROUND(SUM(L41:L80),1)</f>
        <v>1533.1</v>
      </c>
      <c r="M81" s="2496"/>
      <c r="N81" s="1444">
        <f>ROUND(SUM(N41:N80),1)</f>
        <v>1881.9</v>
      </c>
      <c r="O81" s="2496"/>
      <c r="P81" s="1444">
        <f>ROUND(SUM(P41:P80),1)</f>
        <v>1576.4</v>
      </c>
      <c r="Q81" s="2496"/>
      <c r="R81" s="1444">
        <f>ROUND(SUM(R41:R80),1)</f>
        <v>1552.3</v>
      </c>
      <c r="S81" s="2496"/>
      <c r="T81" s="1444">
        <f>ROUND(SUM(T41:T80),1)</f>
        <v>1824.4</v>
      </c>
      <c r="U81" s="2496"/>
      <c r="V81" s="1444">
        <f>ROUND(SUM(V41:V80),1)</f>
        <v>1641</v>
      </c>
      <c r="W81" s="2496"/>
      <c r="X81" s="1444">
        <f>ROUND(SUM(X41:X80),1)</f>
        <v>0</v>
      </c>
      <c r="Y81" s="2496"/>
      <c r="Z81" s="1444">
        <f>ROUND(SUM(Z41:Z80),1)</f>
        <v>0</v>
      </c>
      <c r="AA81" s="1446"/>
      <c r="AB81" s="2012">
        <f>SUM(AB41:AB80)</f>
        <v>0</v>
      </c>
      <c r="AC81" s="2508"/>
      <c r="AD81" s="1444">
        <f>ROUND(SUM(AD41:AD80),1)</f>
        <v>15627.5</v>
      </c>
      <c r="AE81" s="2029"/>
      <c r="AF81" s="2508"/>
      <c r="AG81" s="1444">
        <f>ROUND(SUM(AG41:AG80),1)</f>
        <v>13842.9</v>
      </c>
      <c r="AH81" s="3416"/>
      <c r="AI81" s="1446"/>
      <c r="AJ81" s="1444">
        <f>ROUND(SUM(AJ41:AJ80),1)</f>
        <v>1784.6</v>
      </c>
      <c r="AK81" s="2509"/>
      <c r="AL81" s="1799">
        <f>ROUND(SUM(+AJ81/AG81),3)</f>
        <v>0.129</v>
      </c>
    </row>
    <row r="82" spans="1:45" ht="15" customHeight="1">
      <c r="A82" s="2023"/>
      <c r="B82" s="2511"/>
      <c r="C82" s="2023"/>
      <c r="D82" s="2504"/>
      <c r="F82" s="2504"/>
      <c r="H82" s="1427"/>
      <c r="J82" s="1427"/>
      <c r="L82" s="1985"/>
      <c r="N82" s="1985"/>
      <c r="P82" s="1985"/>
      <c r="R82" s="1985"/>
      <c r="T82" s="1985"/>
      <c r="V82" s="1994"/>
      <c r="X82" s="1994"/>
      <c r="Z82" s="1994"/>
      <c r="AA82" s="2504"/>
      <c r="AB82" s="1985"/>
      <c r="AC82" s="2016"/>
      <c r="AD82" s="1974"/>
      <c r="AE82" s="1974"/>
      <c r="AF82" s="2018"/>
      <c r="AG82" s="1974"/>
      <c r="AH82" s="3413"/>
      <c r="AI82" s="1986"/>
      <c r="AJ82" s="1427"/>
      <c r="AK82" s="2497"/>
      <c r="AL82" s="1416"/>
    </row>
    <row r="83" spans="1:45" s="2163" customFormat="1" ht="15" customHeight="1">
      <c r="A83" s="2420"/>
      <c r="B83" s="2512" t="s">
        <v>148</v>
      </c>
      <c r="C83" s="2420"/>
      <c r="D83" s="2011">
        <f>'Exhibit G State'!D83+'Exhibit G Federal'!D54</f>
        <v>7158.4</v>
      </c>
      <c r="E83" s="2506"/>
      <c r="F83" s="2011">
        <f>'Exhibit G State'!F83+'Exhibit G Federal'!F54</f>
        <v>18222.900000000001</v>
      </c>
      <c r="G83" s="2506"/>
      <c r="H83" s="2011">
        <f>'Exhibit G State'!H83+'Exhibit G Federal'!H54</f>
        <v>7375</v>
      </c>
      <c r="I83" s="2484"/>
      <c r="J83" s="2011">
        <f>'Exhibit G State'!J83+'Exhibit G Federal'!J54</f>
        <v>5735.6999999999971</v>
      </c>
      <c r="K83" s="2496"/>
      <c r="L83" s="2011">
        <f>'Exhibit G State'!L83+'Exhibit G Federal'!L54</f>
        <v>5788.6</v>
      </c>
      <c r="M83" s="2496"/>
      <c r="N83" s="2011">
        <f>'Exhibit G State'!N83+'Exhibit G Federal'!N54</f>
        <v>7398.0999999999985</v>
      </c>
      <c r="O83" s="2496"/>
      <c r="P83" s="2011">
        <f>'Exhibit G State'!P83+'Exhibit G Federal'!P54</f>
        <v>7073.4999999999982</v>
      </c>
      <c r="Q83" s="2496"/>
      <c r="R83" s="2011">
        <f>'Exhibit G State'!R83+'Exhibit G Federal'!R54</f>
        <v>5695.5</v>
      </c>
      <c r="S83" s="2496"/>
      <c r="T83" s="2011">
        <f>'Exhibit G State'!T83+'Exhibit G Federal'!T54</f>
        <v>10052.900000000016</v>
      </c>
      <c r="U83" s="2496"/>
      <c r="V83" s="2011">
        <f>'Exhibit G State'!V83+'Exhibit G Federal'!V54</f>
        <v>5556.1</v>
      </c>
      <c r="W83" s="2496"/>
      <c r="X83" s="2011"/>
      <c r="Y83" s="2496"/>
      <c r="Z83" s="2011"/>
      <c r="AA83" s="2011"/>
      <c r="AB83" s="2513">
        <v>0</v>
      </c>
      <c r="AC83" s="2018"/>
      <c r="AD83" s="1974">
        <f t="shared" si="10"/>
        <v>80056.7</v>
      </c>
      <c r="AE83" s="1974"/>
      <c r="AF83" s="2018"/>
      <c r="AG83" s="2011">
        <f>'Exhibit G State'!AG83+'Exhibit G Federal'!AG54</f>
        <v>66364.599999999991</v>
      </c>
      <c r="AH83" s="3413"/>
      <c r="AI83" s="1956"/>
      <c r="AJ83" s="2020">
        <f>ROUND(SUM(+AD83-AG83),1)</f>
        <v>13692.1</v>
      </c>
      <c r="AK83" s="2514"/>
      <c r="AL83" s="1703">
        <f>ROUND(IF(AG83=0,0,AJ83/ABS(AG83)),3)</f>
        <v>0.20599999999999999</v>
      </c>
    </row>
    <row r="84" spans="1:45" ht="15" customHeight="1">
      <c r="A84" s="2023"/>
      <c r="B84" s="2023"/>
      <c r="C84" s="2023"/>
      <c r="D84" s="1984"/>
      <c r="F84" s="1984"/>
      <c r="H84" s="2447"/>
      <c r="J84" s="2447"/>
      <c r="L84" s="1984"/>
      <c r="N84" s="1984"/>
      <c r="P84" s="1984"/>
      <c r="R84" s="1984"/>
      <c r="T84" s="1984"/>
      <c r="V84" s="1984"/>
      <c r="X84" s="1984"/>
      <c r="Z84" s="1984"/>
      <c r="AA84" s="1986"/>
      <c r="AB84" s="2515"/>
      <c r="AC84" s="1986"/>
      <c r="AD84" s="2030"/>
      <c r="AE84" s="1974"/>
      <c r="AF84" s="2018"/>
      <c r="AG84" s="2030"/>
      <c r="AH84" s="3413"/>
      <c r="AI84" s="1986"/>
      <c r="AJ84" s="2516"/>
      <c r="AL84" s="1430"/>
    </row>
    <row r="85" spans="1:45" ht="15" customHeight="1">
      <c r="A85" s="2023"/>
      <c r="B85" s="2382" t="s">
        <v>149</v>
      </c>
      <c r="C85" s="2023"/>
      <c r="D85" s="1445">
        <f>ROUND(SUM(D83+D81+D37),1)</f>
        <v>8877.5</v>
      </c>
      <c r="F85" s="1445">
        <f>ROUND(SUM(F83+F81+F37),1)</f>
        <v>19743.5</v>
      </c>
      <c r="H85" s="1445">
        <f>ROUND(SUM(H83+H81+H37),1)</f>
        <v>9510.2000000000007</v>
      </c>
      <c r="J85" s="1445">
        <f>ROUND(SUM(J83+J81+J37),1)</f>
        <v>7404.4</v>
      </c>
      <c r="L85" s="1445">
        <f>ROUND(SUM(L83+L81+L37),1)</f>
        <v>7533.6</v>
      </c>
      <c r="N85" s="1445">
        <f>ROUND(SUM(N83+N81+N37),1)</f>
        <v>9830.7999999999993</v>
      </c>
      <c r="P85" s="1445">
        <f>ROUND(SUM(P83+P81+P37),1)</f>
        <v>8901.6</v>
      </c>
      <c r="R85" s="1445">
        <f>ROUND(SUM(R83+R81+R37),1)</f>
        <v>7472.5</v>
      </c>
      <c r="T85" s="1445">
        <f>ROUND(SUM(T83+T81+T37),1)</f>
        <v>12437.1</v>
      </c>
      <c r="V85" s="1445">
        <f>ROUND(SUM(V83+V81+V37),1)</f>
        <v>9274.2999999999993</v>
      </c>
      <c r="X85" s="1445">
        <f>ROUND(SUM(X83+X81+X37),1)</f>
        <v>0</v>
      </c>
      <c r="Z85" s="1445">
        <f>ROUND(SUM(Z83+Z81+Z37),1)</f>
        <v>0</v>
      </c>
      <c r="AA85" s="1445"/>
      <c r="AB85" s="2517">
        <f>ROUND(SUM(AB83+AB81+AB37),1)</f>
        <v>0</v>
      </c>
      <c r="AC85" s="2019"/>
      <c r="AD85" s="2029">
        <f>ROUND(SUM(AD83+AD81+AD37),1)</f>
        <v>100985.5</v>
      </c>
      <c r="AE85" s="2029"/>
      <c r="AF85" s="2508"/>
      <c r="AG85" s="2029">
        <f>ROUND(SUM(AG83+AG81+AG37),1)</f>
        <v>85060.2</v>
      </c>
      <c r="AH85" s="3416"/>
      <c r="AI85" s="1428"/>
      <c r="AJ85" s="2031">
        <f>ROUND(SUM(AJ83+AJ81+AJ37),1)</f>
        <v>15925.3</v>
      </c>
      <c r="AK85" s="2518"/>
      <c r="AL85" s="1420">
        <f>ROUND(SUM(+AJ85/AG85),3)</f>
        <v>0.187</v>
      </c>
    </row>
    <row r="86" spans="1:45" ht="15" customHeight="1">
      <c r="A86" s="2023"/>
      <c r="B86" s="2023"/>
      <c r="C86" s="2023"/>
      <c r="D86" s="1984"/>
      <c r="F86" s="1984"/>
      <c r="H86" s="2447"/>
      <c r="J86" s="2447"/>
      <c r="L86" s="1984"/>
      <c r="N86" s="1984"/>
      <c r="P86" s="1984"/>
      <c r="R86" s="1984"/>
      <c r="T86" s="1984"/>
      <c r="V86" s="1984"/>
      <c r="X86" s="1984"/>
      <c r="Z86" s="1984"/>
      <c r="AA86" s="1986"/>
      <c r="AB86" s="1985"/>
      <c r="AC86" s="2016"/>
      <c r="AD86" s="2030"/>
      <c r="AE86" s="1974"/>
      <c r="AF86" s="2018"/>
      <c r="AG86" s="2030"/>
      <c r="AH86" s="3413"/>
      <c r="AI86" s="1986"/>
      <c r="AJ86" s="1427"/>
      <c r="AL86" s="1416"/>
    </row>
    <row r="87" spans="1:45" ht="15" customHeight="1">
      <c r="A87" s="2023"/>
      <c r="B87" s="2490" t="s">
        <v>22</v>
      </c>
      <c r="C87" s="2023"/>
      <c r="D87" s="1985"/>
      <c r="F87" s="1985"/>
      <c r="H87" s="1427"/>
      <c r="J87" s="1427"/>
      <c r="L87" s="1985"/>
      <c r="N87" s="1985"/>
      <c r="P87" s="1985"/>
      <c r="R87" s="1985"/>
      <c r="T87" s="1985"/>
      <c r="V87" s="1985"/>
      <c r="X87" s="1985"/>
      <c r="Z87" s="1985"/>
      <c r="AA87" s="1985"/>
      <c r="AB87" s="1985"/>
      <c r="AC87" s="2016"/>
      <c r="AD87" s="1974"/>
      <c r="AE87" s="3121"/>
      <c r="AF87" s="3113"/>
      <c r="AG87" s="1974"/>
      <c r="AH87" s="3413"/>
      <c r="AI87" s="1986"/>
      <c r="AJ87" s="1427"/>
      <c r="AL87" s="1416"/>
    </row>
    <row r="88" spans="1:45" ht="15" customHeight="1">
      <c r="A88" s="2023"/>
      <c r="B88" s="2424" t="s">
        <v>150</v>
      </c>
      <c r="C88" s="2023"/>
      <c r="D88" s="2504"/>
      <c r="F88" s="2504"/>
      <c r="H88" s="1979"/>
      <c r="J88" s="1979"/>
      <c r="L88" s="1974"/>
      <c r="N88" s="1974"/>
      <c r="P88" s="1974"/>
      <c r="R88" s="1974"/>
      <c r="T88" s="1974"/>
      <c r="V88" s="1974"/>
      <c r="X88" s="1994"/>
      <c r="Z88" s="1994"/>
      <c r="AA88" s="2504"/>
      <c r="AB88" s="1985"/>
      <c r="AC88" s="2016"/>
      <c r="AD88" s="1974"/>
      <c r="AE88" s="1974"/>
      <c r="AF88" s="2018"/>
      <c r="AG88" s="1974"/>
      <c r="AH88" s="3413"/>
      <c r="AI88" s="1986"/>
      <c r="AJ88" s="1427"/>
      <c r="AL88" s="1431"/>
    </row>
    <row r="89" spans="1:45" s="2163" customFormat="1" ht="15" customHeight="1">
      <c r="A89" s="2420"/>
      <c r="B89" s="2519" t="s">
        <v>24</v>
      </c>
      <c r="C89" s="2420"/>
      <c r="D89" s="2011">
        <f>'Exhibit G State'!D89+'Exhibit G Federal'!D60</f>
        <v>273.7</v>
      </c>
      <c r="E89" s="2506"/>
      <c r="F89" s="2011">
        <f>'Exhibit G State'!F89+'Exhibit G Federal'!F60</f>
        <v>478.2</v>
      </c>
      <c r="G89" s="2506"/>
      <c r="H89" s="2011">
        <f>'Exhibit G State'!H89+'Exhibit G Federal'!H60</f>
        <v>1195.4000000000001</v>
      </c>
      <c r="I89" s="2484"/>
      <c r="J89" s="2011">
        <f>'Exhibit G State'!J89+'Exhibit G Federal'!J60</f>
        <v>384</v>
      </c>
      <c r="K89" s="2496"/>
      <c r="L89" s="2011">
        <f>'Exhibit G State'!L89+'Exhibit G Federal'!L60</f>
        <v>684.59999999999968</v>
      </c>
      <c r="M89" s="2496"/>
      <c r="N89" s="2011">
        <f>'Exhibit G State'!N89+'Exhibit G Federal'!N60</f>
        <v>2704.5000000000005</v>
      </c>
      <c r="O89" s="2496"/>
      <c r="P89" s="2011">
        <f>'Exhibit G State'!P89+'Exhibit G Federal'!P60</f>
        <v>762.59999999999991</v>
      </c>
      <c r="Q89" s="2496"/>
      <c r="R89" s="2011">
        <f>'Exhibit G State'!R89+'Exhibit G Federal'!R60</f>
        <v>516.19999999999982</v>
      </c>
      <c r="S89" s="2496"/>
      <c r="T89" s="2011">
        <f>'Exhibit G State'!T89+'Exhibit G Federal'!T60</f>
        <v>926.49999999999955</v>
      </c>
      <c r="U89" s="2496"/>
      <c r="V89" s="2011">
        <f>'Exhibit G State'!V89+'Exhibit G Federal'!V60</f>
        <v>2291.2000000000007</v>
      </c>
      <c r="W89" s="2496"/>
      <c r="X89" s="2011"/>
      <c r="Y89" s="2496"/>
      <c r="Z89" s="2011"/>
      <c r="AA89" s="2011"/>
      <c r="AB89" s="1974">
        <v>0</v>
      </c>
      <c r="AC89" s="2018"/>
      <c r="AD89" s="1974">
        <f>ROUND(SUM(D89:Z89),1)</f>
        <v>10216.9</v>
      </c>
      <c r="AE89" s="1974"/>
      <c r="AF89" s="2018"/>
      <c r="AG89" s="2011">
        <f>'Exhibit G State'!AG89+'Exhibit G Federal'!AG60</f>
        <v>7737.7000000000007</v>
      </c>
      <c r="AH89" s="3413"/>
      <c r="AI89" s="1956"/>
      <c r="AJ89" s="1979">
        <f>ROUND(SUM(+AD89-AG89),1)</f>
        <v>2479.1999999999998</v>
      </c>
      <c r="AK89" s="2514"/>
      <c r="AL89" s="1703">
        <f>ROUND(IF(AG89=0,0,AJ89/ABS(AG89)),3)</f>
        <v>0.32</v>
      </c>
      <c r="AR89" s="1970"/>
      <c r="AS89" s="2520"/>
    </row>
    <row r="90" spans="1:45" s="2163" customFormat="1" ht="15" customHeight="1">
      <c r="A90" s="2420"/>
      <c r="B90" s="2519" t="s">
        <v>25</v>
      </c>
      <c r="C90" s="2420"/>
      <c r="D90" s="2011">
        <f>'Exhibit G State'!D90+'Exhibit G Federal'!D61</f>
        <v>0.4</v>
      </c>
      <c r="E90" s="2506"/>
      <c r="F90" s="2011">
        <f>'Exhibit G State'!F90+'Exhibit G Federal'!F61</f>
        <v>0.30000000000000004</v>
      </c>
      <c r="G90" s="2506"/>
      <c r="H90" s="2011">
        <f>'Exhibit G State'!H90+'Exhibit G Federal'!H61</f>
        <v>0.10000000000000006</v>
      </c>
      <c r="I90" s="2484"/>
      <c r="J90" s="2011">
        <f>'Exhibit G State'!J90+'Exhibit G Federal'!J61</f>
        <v>0.6</v>
      </c>
      <c r="K90" s="2496"/>
      <c r="L90" s="2011">
        <f>'Exhibit G State'!L90+'Exhibit G Federal'!L61</f>
        <v>0.79999999999999993</v>
      </c>
      <c r="M90" s="2496"/>
      <c r="N90" s="2011">
        <f>'Exhibit G State'!N90+'Exhibit G Federal'!N61</f>
        <v>0.19999999999999996</v>
      </c>
      <c r="O90" s="2496"/>
      <c r="P90" s="2011">
        <f>'Exhibit G State'!P90+'Exhibit G Federal'!P61</f>
        <v>0</v>
      </c>
      <c r="Q90" s="2496"/>
      <c r="R90" s="2011">
        <f>'Exhibit G State'!R90+'Exhibit G Federal'!R61</f>
        <v>0.39999999999999997</v>
      </c>
      <c r="S90" s="2496"/>
      <c r="T90" s="2011">
        <f>'Exhibit G State'!T90+'Exhibit G Federal'!T61</f>
        <v>0.59999999999999987</v>
      </c>
      <c r="U90" s="2496"/>
      <c r="V90" s="2011">
        <f>'Exhibit G State'!V90+'Exhibit G Federal'!V61</f>
        <v>0.89999999999999991</v>
      </c>
      <c r="W90" s="2496"/>
      <c r="X90" s="2011"/>
      <c r="Y90" s="2496"/>
      <c r="Z90" s="2011"/>
      <c r="AA90" s="2011"/>
      <c r="AB90" s="1974">
        <v>0</v>
      </c>
      <c r="AC90" s="2018"/>
      <c r="AD90" s="1974">
        <f>ROUND(SUM(D90:Z90),1)</f>
        <v>4.3</v>
      </c>
      <c r="AE90" s="1974"/>
      <c r="AF90" s="2018"/>
      <c r="AG90" s="2011">
        <f>'Exhibit G State'!AG90+'Exhibit G Federal'!AG61</f>
        <v>2.4</v>
      </c>
      <c r="AH90" s="3413"/>
      <c r="AI90" s="1956"/>
      <c r="AJ90" s="1979">
        <f>ROUND(SUM(+AD90-AG90),1)</f>
        <v>1.9</v>
      </c>
      <c r="AK90" s="2514"/>
      <c r="AL90" s="1708">
        <f>ROUND(IF(AG90=0,1,AJ90/ABS(AG90)),3)</f>
        <v>0.79200000000000004</v>
      </c>
      <c r="AR90" s="2520"/>
      <c r="AS90" s="2520"/>
    </row>
    <row r="91" spans="1:45" s="2163" customFormat="1" ht="15" customHeight="1">
      <c r="A91" s="2420"/>
      <c r="B91" s="2519" t="s">
        <v>26</v>
      </c>
      <c r="C91" s="2420"/>
      <c r="D91" s="2011">
        <f>'Exhibit G State'!D91+'Exhibit G Federal'!D62</f>
        <v>21.299999999999997</v>
      </c>
      <c r="E91" s="2506"/>
      <c r="F91" s="2011">
        <f>'Exhibit G State'!F91+'Exhibit G Federal'!F62</f>
        <v>39.900000000000006</v>
      </c>
      <c r="G91" s="2506"/>
      <c r="H91" s="2011">
        <f>'Exhibit G State'!H91+'Exhibit G Federal'!H62</f>
        <v>15.699999999999996</v>
      </c>
      <c r="I91" s="2484"/>
      <c r="J91" s="2011">
        <f>'Exhibit G State'!J91+'Exhibit G Federal'!J62</f>
        <v>455.20000000000005</v>
      </c>
      <c r="K91" s="2496"/>
      <c r="L91" s="2011">
        <f>'Exhibit G State'!L91+'Exhibit G Federal'!L62</f>
        <v>35.79999999999999</v>
      </c>
      <c r="M91" s="2496"/>
      <c r="N91" s="2011">
        <f>'Exhibit G State'!N91+'Exhibit G Federal'!N62</f>
        <v>25.999999999999972</v>
      </c>
      <c r="O91" s="2496"/>
      <c r="P91" s="2011">
        <f>'Exhibit G State'!P91+'Exhibit G Federal'!P62</f>
        <v>3.8000000000000398</v>
      </c>
      <c r="Q91" s="2496"/>
      <c r="R91" s="2011">
        <f>'Exhibit G State'!R91+'Exhibit G Federal'!R62</f>
        <v>41.500000000000036</v>
      </c>
      <c r="S91" s="2496"/>
      <c r="T91" s="2011">
        <f>'Exhibit G State'!T91+'Exhibit G Federal'!T62</f>
        <v>36.999999999999886</v>
      </c>
      <c r="U91" s="2496"/>
      <c r="V91" s="2011">
        <f>'Exhibit G State'!V91+'Exhibit G Federal'!V62</f>
        <v>18.700000000000038</v>
      </c>
      <c r="W91" s="2496"/>
      <c r="X91" s="2011"/>
      <c r="Y91" s="2496"/>
      <c r="Z91" s="2011"/>
      <c r="AA91" s="2011"/>
      <c r="AB91" s="1974">
        <v>0</v>
      </c>
      <c r="AC91" s="2018"/>
      <c r="AD91" s="1974">
        <f>ROUND(SUM(D91:Z91),1)</f>
        <v>694.9</v>
      </c>
      <c r="AE91" s="1974"/>
      <c r="AF91" s="2018"/>
      <c r="AG91" s="2011">
        <f>'Exhibit G State'!AG91+'Exhibit G Federal'!AG62</f>
        <v>4352.3999999999996</v>
      </c>
      <c r="AH91" s="3413"/>
      <c r="AI91" s="1956"/>
      <c r="AJ91" s="1979">
        <f>ROUND(SUM(+AD91-AG91),1)</f>
        <v>-3657.5</v>
      </c>
      <c r="AK91" s="2514"/>
      <c r="AL91" s="3708">
        <f>ROUND(IF(AG91=0,0,AJ91/ABS(AG91)),3)</f>
        <v>-0.84</v>
      </c>
      <c r="AR91" s="2520"/>
      <c r="AS91" s="2520"/>
    </row>
    <row r="92" spans="1:45" s="2163" customFormat="1" ht="15" customHeight="1">
      <c r="A92" s="2420"/>
      <c r="B92" s="2519" t="s">
        <v>27</v>
      </c>
      <c r="C92" s="2420"/>
      <c r="D92" s="1956"/>
      <c r="E92" s="2484"/>
      <c r="F92" s="1956"/>
      <c r="G92" s="2484"/>
      <c r="H92" s="1956"/>
      <c r="I92" s="2484"/>
      <c r="J92" s="1956"/>
      <c r="K92" s="2496"/>
      <c r="L92" s="1956"/>
      <c r="M92" s="2496"/>
      <c r="N92" s="1956"/>
      <c r="O92" s="2496"/>
      <c r="P92" s="1956"/>
      <c r="Q92" s="2496"/>
      <c r="R92" s="1956"/>
      <c r="S92" s="2496"/>
      <c r="T92" s="1956"/>
      <c r="U92" s="2496"/>
      <c r="V92" s="1956"/>
      <c r="W92" s="2496"/>
      <c r="X92" s="1956"/>
      <c r="Y92" s="2496"/>
      <c r="Z92" s="1956"/>
      <c r="AA92" s="1956"/>
      <c r="AB92" s="1974"/>
      <c r="AC92" s="2018"/>
      <c r="AD92" s="1974"/>
      <c r="AE92" s="1974"/>
      <c r="AF92" s="2018"/>
      <c r="AG92" s="1956"/>
      <c r="AH92" s="3413"/>
      <c r="AI92" s="1956"/>
      <c r="AJ92" s="1979" t="s">
        <v>14</v>
      </c>
      <c r="AK92" s="2521" t="s">
        <v>14</v>
      </c>
      <c r="AL92" s="1432" t="s">
        <v>14</v>
      </c>
      <c r="AR92" s="1970"/>
      <c r="AS92" s="1970"/>
    </row>
    <row r="93" spans="1:45" s="2163" customFormat="1" ht="15" customHeight="1">
      <c r="A93" s="2420"/>
      <c r="B93" s="2522" t="s">
        <v>28</v>
      </c>
      <c r="C93" s="2420"/>
      <c r="D93" s="2011">
        <f>'Exhibit G State'!D93+'Exhibit G Federal'!D64</f>
        <v>3758.1</v>
      </c>
      <c r="E93" s="2506"/>
      <c r="F93" s="2011">
        <f>'Exhibit G State'!F93+'Exhibit G Federal'!F64</f>
        <v>4201.8999999999996</v>
      </c>
      <c r="G93" s="2506"/>
      <c r="H93" s="2011">
        <f>'Exhibit G State'!H93+'Exhibit G Federal'!H64</f>
        <v>4750.7000000000007</v>
      </c>
      <c r="I93" s="2484"/>
      <c r="J93" s="2011">
        <f>'Exhibit G State'!J93+'Exhibit G Federal'!J64</f>
        <v>3703.3999999999983</v>
      </c>
      <c r="K93" s="2496"/>
      <c r="L93" s="2011">
        <f>'Exhibit G State'!L93+'Exhibit G Federal'!L64</f>
        <v>4444.2000000000007</v>
      </c>
      <c r="M93" s="2496"/>
      <c r="N93" s="2011">
        <f>'Exhibit G State'!N93+'Exhibit G Federal'!N64</f>
        <v>4182.7999999999993</v>
      </c>
      <c r="O93" s="2496"/>
      <c r="P93" s="2011">
        <f>'Exhibit G State'!P93+'Exhibit G Federal'!P64</f>
        <v>4756.6000000000013</v>
      </c>
      <c r="Q93" s="2496"/>
      <c r="R93" s="2011">
        <f>'Exhibit G State'!R93+'Exhibit G Federal'!R64</f>
        <v>4317.1000000000004</v>
      </c>
      <c r="S93" s="2496"/>
      <c r="T93" s="2011">
        <f>'Exhibit G State'!T93+'Exhibit G Federal'!T64</f>
        <v>5120.6999999999989</v>
      </c>
      <c r="U93" s="2496"/>
      <c r="V93" s="2011">
        <f>'Exhibit G State'!V93+'Exhibit G Federal'!V64</f>
        <v>4283.9000000000015</v>
      </c>
      <c r="W93" s="2496"/>
      <c r="X93" s="2011"/>
      <c r="Y93" s="2496"/>
      <c r="Z93" s="2011"/>
      <c r="AA93" s="2011"/>
      <c r="AB93" s="1974">
        <v>0</v>
      </c>
      <c r="AC93" s="2018"/>
      <c r="AD93" s="1974">
        <f t="shared" ref="AD93:AD98" si="19">ROUND(SUM(D93:Z93),1)</f>
        <v>43519.4</v>
      </c>
      <c r="AE93" s="1974"/>
      <c r="AF93" s="2018"/>
      <c r="AG93" s="2011">
        <f>'Exhibit G State'!AG93+'Exhibit G Federal'!AG64</f>
        <v>42542.799999999996</v>
      </c>
      <c r="AH93" s="3413"/>
      <c r="AI93" s="1956"/>
      <c r="AJ93" s="1979">
        <f t="shared" ref="AJ93:AJ98" si="20">ROUND(SUM(+AD93-AG93),1)</f>
        <v>976.6</v>
      </c>
      <c r="AK93" s="2514"/>
      <c r="AL93" s="1703">
        <f>ROUND(IF(AG93=0,0,AJ93/ABS(AG93)),3)</f>
        <v>2.3E-2</v>
      </c>
      <c r="AR93" s="1970"/>
      <c r="AS93" s="1970"/>
    </row>
    <row r="94" spans="1:45" s="2163" customFormat="1" ht="15" customHeight="1">
      <c r="A94" s="2420"/>
      <c r="B94" s="2519" t="s">
        <v>29</v>
      </c>
      <c r="C94" s="2420"/>
      <c r="D94" s="2011">
        <f>'Exhibit G State'!D94+'Exhibit G Federal'!D65</f>
        <v>558.9</v>
      </c>
      <c r="E94" s="2506"/>
      <c r="F94" s="2011">
        <f>'Exhibit G State'!F94+'Exhibit G Federal'!F65</f>
        <v>556.9</v>
      </c>
      <c r="G94" s="2506"/>
      <c r="H94" s="2011">
        <f>'Exhibit G State'!H94+'Exhibit G Federal'!H65</f>
        <v>913.70000000000016</v>
      </c>
      <c r="I94" s="2484"/>
      <c r="J94" s="2011">
        <f>'Exhibit G State'!J94+'Exhibit G Federal'!J65</f>
        <v>708</v>
      </c>
      <c r="K94" s="2496"/>
      <c r="L94" s="2011">
        <f>'Exhibit G State'!L94+'Exhibit G Federal'!L65</f>
        <v>758.09999999999991</v>
      </c>
      <c r="M94" s="2496"/>
      <c r="N94" s="2011">
        <f>'Exhibit G State'!N94+'Exhibit G Federal'!N65</f>
        <v>864.30000000000041</v>
      </c>
      <c r="O94" s="2496"/>
      <c r="P94" s="2011">
        <f>'Exhibit G State'!P94+'Exhibit G Federal'!P65</f>
        <v>660.19999999999936</v>
      </c>
      <c r="Q94" s="2496"/>
      <c r="R94" s="2011">
        <f>'Exhibit G State'!R94+'Exhibit G Federal'!R65</f>
        <v>612.4</v>
      </c>
      <c r="S94" s="2496"/>
      <c r="T94" s="2011">
        <f>'Exhibit G State'!T94+'Exhibit G Federal'!T65</f>
        <v>924.09999999999968</v>
      </c>
      <c r="U94" s="2496"/>
      <c r="V94" s="2011">
        <f>'Exhibit G State'!V94+'Exhibit G Federal'!V65</f>
        <v>675.00000000000034</v>
      </c>
      <c r="W94" s="2496"/>
      <c r="X94" s="2011"/>
      <c r="Y94" s="2496"/>
      <c r="Z94" s="2011"/>
      <c r="AA94" s="2011"/>
      <c r="AB94" s="1974">
        <v>0</v>
      </c>
      <c r="AC94" s="2018"/>
      <c r="AD94" s="1974">
        <f t="shared" si="19"/>
        <v>7231.6</v>
      </c>
      <c r="AE94" s="1974"/>
      <c r="AF94" s="2018"/>
      <c r="AG94" s="2011">
        <f>'Exhibit G State'!AG94+'Exhibit G Federal'!AG65</f>
        <v>6201.3</v>
      </c>
      <c r="AH94" s="3413"/>
      <c r="AI94" s="1956"/>
      <c r="AJ94" s="1979">
        <f t="shared" si="20"/>
        <v>1030.3</v>
      </c>
      <c r="AK94" s="2514"/>
      <c r="AL94" s="1703">
        <f t="shared" ref="AL94:AL98" si="21">ROUND(IF(AG94=0,0,AJ94/ABS(AG94)),3)</f>
        <v>0.16600000000000001</v>
      </c>
      <c r="AR94" s="1970"/>
      <c r="AS94" s="1970"/>
    </row>
    <row r="95" spans="1:45" s="2163" customFormat="1" ht="15" customHeight="1">
      <c r="A95" s="2420"/>
      <c r="B95" s="2519" t="s">
        <v>30</v>
      </c>
      <c r="C95" s="2420"/>
      <c r="D95" s="2011">
        <f>'Exhibit G State'!D95+'Exhibit G Federal'!D66</f>
        <v>123.2</v>
      </c>
      <c r="E95" s="2506"/>
      <c r="F95" s="2011">
        <f>'Exhibit G State'!F95+'Exhibit G Federal'!F66</f>
        <v>108</v>
      </c>
      <c r="G95" s="2506"/>
      <c r="H95" s="2011">
        <f>'Exhibit G State'!H95+'Exhibit G Federal'!H66</f>
        <v>158.60000000000002</v>
      </c>
      <c r="I95" s="2484"/>
      <c r="J95" s="2011">
        <f>'Exhibit G State'!J95+'Exhibit G Federal'!J66</f>
        <v>208.70000000000002</v>
      </c>
      <c r="K95" s="2496"/>
      <c r="L95" s="2011">
        <f>'Exhibit G State'!L95+'Exhibit G Federal'!L66</f>
        <v>85.300000000000011</v>
      </c>
      <c r="M95" s="2496"/>
      <c r="N95" s="2011">
        <f>'Exhibit G State'!N95+'Exhibit G Federal'!N66</f>
        <v>205.2</v>
      </c>
      <c r="O95" s="2496"/>
      <c r="P95" s="2011">
        <f>'Exhibit G State'!P95+'Exhibit G Federal'!P66</f>
        <v>156.10000000000008</v>
      </c>
      <c r="Q95" s="2496"/>
      <c r="R95" s="2011">
        <f>'Exhibit G State'!R95+'Exhibit G Federal'!R66</f>
        <v>96.09999999999998</v>
      </c>
      <c r="S95" s="2496"/>
      <c r="T95" s="2011">
        <f>'Exhibit G State'!T95+'Exhibit G Federal'!T66</f>
        <v>212.99999999999972</v>
      </c>
      <c r="U95" s="2496"/>
      <c r="V95" s="2011">
        <f>'Exhibit G State'!V95+'Exhibit G Federal'!V66</f>
        <v>471.89999999999986</v>
      </c>
      <c r="W95" s="2496"/>
      <c r="X95" s="2011"/>
      <c r="Y95" s="2496"/>
      <c r="Z95" s="2011"/>
      <c r="AA95" s="2011"/>
      <c r="AB95" s="1974">
        <v>0</v>
      </c>
      <c r="AC95" s="2018"/>
      <c r="AD95" s="1974">
        <f t="shared" si="19"/>
        <v>1826.1</v>
      </c>
      <c r="AE95" s="1974"/>
      <c r="AF95" s="2018"/>
      <c r="AG95" s="2011">
        <f>'Exhibit G State'!AG95+'Exhibit G Federal'!AG66</f>
        <v>1638.6000000000001</v>
      </c>
      <c r="AH95" s="3413"/>
      <c r="AI95" s="1956"/>
      <c r="AJ95" s="1979">
        <f t="shared" si="20"/>
        <v>187.5</v>
      </c>
      <c r="AK95" s="2514"/>
      <c r="AL95" s="1703">
        <f t="shared" si="21"/>
        <v>0.114</v>
      </c>
      <c r="AR95" s="1970"/>
      <c r="AS95" s="1970"/>
    </row>
    <row r="96" spans="1:45" s="2163" customFormat="1" ht="15" customHeight="1">
      <c r="A96" s="2420"/>
      <c r="B96" s="2519" t="s">
        <v>31</v>
      </c>
      <c r="C96" s="2420"/>
      <c r="D96" s="2011">
        <f>'Exhibit G State'!D96+'Exhibit G Federal'!D67</f>
        <v>158.69999999999999</v>
      </c>
      <c r="E96" s="2506"/>
      <c r="F96" s="2011">
        <f>'Exhibit G State'!F96+'Exhibit G Federal'!F67</f>
        <v>200.59999999999997</v>
      </c>
      <c r="G96" s="2506"/>
      <c r="H96" s="2011">
        <f>'Exhibit G State'!H96+'Exhibit G Federal'!H67</f>
        <v>496.6</v>
      </c>
      <c r="I96" s="2484"/>
      <c r="J96" s="2011">
        <f>'Exhibit G State'!J96+'Exhibit G Federal'!J67</f>
        <v>632.0999999999998</v>
      </c>
      <c r="K96" s="2496"/>
      <c r="L96" s="2011">
        <f>'Exhibit G State'!L96+'Exhibit G Federal'!L67</f>
        <v>691.00000000000034</v>
      </c>
      <c r="M96" s="2496"/>
      <c r="N96" s="2011">
        <f>'Exhibit G State'!N96+'Exhibit G Federal'!N67</f>
        <v>1389.6000000000001</v>
      </c>
      <c r="O96" s="2496"/>
      <c r="P96" s="2011">
        <f>'Exhibit G State'!P96+'Exhibit G Federal'!P67</f>
        <v>717.09999999999968</v>
      </c>
      <c r="Q96" s="2496"/>
      <c r="R96" s="2011">
        <f>'Exhibit G State'!R96+'Exhibit G Federal'!R67</f>
        <v>570.00000000000068</v>
      </c>
      <c r="S96" s="2496"/>
      <c r="T96" s="2011">
        <f>'Exhibit G State'!T96+'Exhibit G Federal'!T67</f>
        <v>738.0999999999998</v>
      </c>
      <c r="U96" s="2496"/>
      <c r="V96" s="2011">
        <f>'Exhibit G State'!V96+'Exhibit G Federal'!V67</f>
        <v>703.7</v>
      </c>
      <c r="W96" s="2496"/>
      <c r="X96" s="2011"/>
      <c r="Y96" s="2496"/>
      <c r="Z96" s="2011"/>
      <c r="AA96" s="2011"/>
      <c r="AB96" s="1974">
        <v>0</v>
      </c>
      <c r="AC96" s="2018"/>
      <c r="AD96" s="1974">
        <f t="shared" si="19"/>
        <v>6297.5</v>
      </c>
      <c r="AE96" s="1974"/>
      <c r="AF96" s="2018"/>
      <c r="AG96" s="2011">
        <f>'Exhibit G State'!AG96+'Exhibit G Federal'!AG67</f>
        <v>2797.6</v>
      </c>
      <c r="AH96" s="3413"/>
      <c r="AI96" s="1956"/>
      <c r="AJ96" s="1979">
        <f t="shared" si="20"/>
        <v>3499.9</v>
      </c>
      <c r="AK96" s="2514"/>
      <c r="AL96" s="1703">
        <f t="shared" si="21"/>
        <v>1.2509999999999999</v>
      </c>
      <c r="AR96" s="1970"/>
      <c r="AS96" s="1970"/>
    </row>
    <row r="97" spans="1:46" s="2163" customFormat="1" ht="15" customHeight="1">
      <c r="A97" s="2420"/>
      <c r="B97" s="2519" t="s">
        <v>32</v>
      </c>
      <c r="C97" s="2420"/>
      <c r="D97" s="2011">
        <f>'Exhibit G State'!D97+'Exhibit G Federal'!D68</f>
        <v>0.5</v>
      </c>
      <c r="E97" s="2506"/>
      <c r="F97" s="2011">
        <f>'Exhibit G State'!F97+'Exhibit G Federal'!F68</f>
        <v>2.2000000000000002</v>
      </c>
      <c r="G97" s="2506"/>
      <c r="H97" s="2011">
        <f>'Exhibit G State'!H97+'Exhibit G Federal'!H68</f>
        <v>1.7999999999999998</v>
      </c>
      <c r="I97" s="2484"/>
      <c r="J97" s="2011">
        <f>'Exhibit G State'!J97+'Exhibit G Federal'!J68</f>
        <v>3.5999999999999996</v>
      </c>
      <c r="K97" s="2496"/>
      <c r="L97" s="2011">
        <f>'Exhibit G State'!L97+'Exhibit G Federal'!L68</f>
        <v>5.3000000000000007</v>
      </c>
      <c r="M97" s="2496"/>
      <c r="N97" s="2011">
        <f>'Exhibit G State'!N97+'Exhibit G Federal'!N68</f>
        <v>14.9</v>
      </c>
      <c r="O97" s="2496"/>
      <c r="P97" s="2011">
        <f>'Exhibit G State'!P97+'Exhibit G Federal'!P68</f>
        <v>3.0000000000000009</v>
      </c>
      <c r="Q97" s="2496"/>
      <c r="R97" s="2011">
        <f>'Exhibit G State'!R97+'Exhibit G Federal'!R68</f>
        <v>3.0000000000000022</v>
      </c>
      <c r="S97" s="2496"/>
      <c r="T97" s="2011">
        <f>'Exhibit G State'!T97+'Exhibit G Federal'!T68</f>
        <v>19.100000000000001</v>
      </c>
      <c r="U97" s="2496"/>
      <c r="V97" s="2011">
        <f>'Exhibit G State'!V97+'Exhibit G Federal'!V68</f>
        <v>9.4999999999999982</v>
      </c>
      <c r="W97" s="2496"/>
      <c r="X97" s="2011"/>
      <c r="Y97" s="2496"/>
      <c r="Z97" s="2011"/>
      <c r="AA97" s="2011"/>
      <c r="AB97" s="1974">
        <v>0</v>
      </c>
      <c r="AC97" s="2018"/>
      <c r="AD97" s="1974">
        <f t="shared" si="19"/>
        <v>62.9</v>
      </c>
      <c r="AE97" s="1974"/>
      <c r="AF97" s="2018"/>
      <c r="AG97" s="2011">
        <f>'Exhibit G State'!AG97+'Exhibit G Federal'!AG68</f>
        <v>45.4</v>
      </c>
      <c r="AH97" s="3413"/>
      <c r="AI97" s="1956"/>
      <c r="AJ97" s="1979">
        <f t="shared" si="20"/>
        <v>17.5</v>
      </c>
      <c r="AK97" s="2514"/>
      <c r="AL97" s="1708">
        <f>ROUND(IF(AG97=0,0,AJ97/ABS(AG97)),3)</f>
        <v>0.38500000000000001</v>
      </c>
      <c r="AR97" s="2520"/>
      <c r="AS97" s="2520"/>
    </row>
    <row r="98" spans="1:46" s="2163" customFormat="1" ht="15" customHeight="1">
      <c r="A98" s="2420"/>
      <c r="B98" s="2519" t="s">
        <v>33</v>
      </c>
      <c r="C98" s="2420"/>
      <c r="D98" s="2011">
        <f>'Exhibit G State'!D98+'Exhibit G Federal'!D69</f>
        <v>201.4</v>
      </c>
      <c r="E98" s="2506"/>
      <c r="F98" s="2011">
        <f>'Exhibit G State'!F98+'Exhibit G Federal'!F69</f>
        <v>411.19999999999993</v>
      </c>
      <c r="G98" s="2506"/>
      <c r="H98" s="2011">
        <f>'Exhibit G State'!H98+'Exhibit G Federal'!H69</f>
        <v>287.40000000000009</v>
      </c>
      <c r="I98" s="2484"/>
      <c r="J98" s="2011">
        <f>'Exhibit G State'!J98+'Exhibit G Federal'!J69</f>
        <v>303.19999999999993</v>
      </c>
      <c r="K98" s="2496"/>
      <c r="L98" s="2011">
        <f>'Exhibit G State'!L98+'Exhibit G Federal'!L69</f>
        <v>415.49999999999994</v>
      </c>
      <c r="M98" s="2496"/>
      <c r="N98" s="2011">
        <f>'Exhibit G State'!N98+'Exhibit G Federal'!N69</f>
        <v>277.50000000000028</v>
      </c>
      <c r="O98" s="2496"/>
      <c r="P98" s="2011">
        <f>'Exhibit G State'!P98+'Exhibit G Federal'!P69</f>
        <v>286.99999999999972</v>
      </c>
      <c r="Q98" s="2496"/>
      <c r="R98" s="2011">
        <f>'Exhibit G State'!R98+'Exhibit G Federal'!R69</f>
        <v>518.70000000000016</v>
      </c>
      <c r="S98" s="2496"/>
      <c r="T98" s="2011">
        <f>'Exhibit G State'!T98+'Exhibit G Federal'!T69</f>
        <v>766.8</v>
      </c>
      <c r="U98" s="2496"/>
      <c r="V98" s="2011">
        <f>'Exhibit G State'!V98+'Exhibit G Federal'!V69</f>
        <v>73.199999999999818</v>
      </c>
      <c r="W98" s="2496"/>
      <c r="X98" s="2011"/>
      <c r="Y98" s="2496"/>
      <c r="Z98" s="2011"/>
      <c r="AA98" s="2011"/>
      <c r="AB98" s="1974">
        <v>0</v>
      </c>
      <c r="AC98" s="2018"/>
      <c r="AD98" s="1956">
        <f t="shared" si="19"/>
        <v>3541.9</v>
      </c>
      <c r="AE98" s="1974"/>
      <c r="AF98" s="2018"/>
      <c r="AG98" s="2011">
        <f>'Exhibit G State'!AG98+'Exhibit G Federal'!AG69</f>
        <v>2974.9</v>
      </c>
      <c r="AH98" s="3413"/>
      <c r="AI98" s="1956"/>
      <c r="AJ98" s="2020">
        <f t="shared" si="20"/>
        <v>567</v>
      </c>
      <c r="AK98" s="2514"/>
      <c r="AL98" s="1791">
        <f t="shared" si="21"/>
        <v>0.191</v>
      </c>
      <c r="AM98" s="2523"/>
      <c r="AR98" s="1997"/>
      <c r="AS98" s="1997"/>
      <c r="AT98" s="2162"/>
    </row>
    <row r="99" spans="1:46" ht="15" customHeight="1">
      <c r="A99" s="2023"/>
      <c r="B99" s="2382" t="s">
        <v>1083</v>
      </c>
      <c r="C99" s="2023"/>
      <c r="D99" s="2012">
        <f>ROUND(SUM(D89:D98),1)</f>
        <v>5096.2</v>
      </c>
      <c r="F99" s="2012">
        <f>ROUND(SUM(F89:F98),1)</f>
        <v>5999.2</v>
      </c>
      <c r="H99" s="2429">
        <f>ROUND(SUM(H89:H98),1)</f>
        <v>7820</v>
      </c>
      <c r="J99" s="2429">
        <f>ROUND(SUM(J89:J98),1)</f>
        <v>6398.8</v>
      </c>
      <c r="L99" s="2012">
        <f t="shared" ref="L99" si="22">ROUND(SUM(L89:L98),1)</f>
        <v>7120.6</v>
      </c>
      <c r="N99" s="2012">
        <f t="shared" ref="N99" si="23">ROUND(SUM(N89:N98),1)</f>
        <v>9665</v>
      </c>
      <c r="P99" s="2012">
        <f t="shared" ref="P99" si="24">ROUND(SUM(P89:P98),1)</f>
        <v>7346.4</v>
      </c>
      <c r="R99" s="2012">
        <f t="shared" ref="R99:T99" si="25">ROUND(SUM(R89:R98),1)</f>
        <v>6675.4</v>
      </c>
      <c r="T99" s="2012">
        <f t="shared" si="25"/>
        <v>8745.9</v>
      </c>
      <c r="V99" s="2012">
        <f t="shared" ref="V99" si="26">ROUND(SUM(V89:V98),1)</f>
        <v>8528</v>
      </c>
      <c r="X99" s="2012">
        <f t="shared" ref="X99:Z99" si="27">ROUND(SUM(X89:X98),1)</f>
        <v>0</v>
      </c>
      <c r="Z99" s="2012">
        <f t="shared" si="27"/>
        <v>0</v>
      </c>
      <c r="AA99" s="1428"/>
      <c r="AB99" s="2012">
        <f>ROUND(SUM(AB89:AB98),1)</f>
        <v>0</v>
      </c>
      <c r="AC99" s="2019"/>
      <c r="AD99" s="1996">
        <f>ROUND(SUM(AD89:AD98),1)</f>
        <v>73395.5</v>
      </c>
      <c r="AE99" s="2029"/>
      <c r="AF99" s="2508"/>
      <c r="AG99" s="1996">
        <f>ROUND(SUM(AG89:AG98),1)</f>
        <v>68293.100000000006</v>
      </c>
      <c r="AH99" s="3416"/>
      <c r="AI99" s="1428"/>
      <c r="AJ99" s="2012">
        <f>ROUND(SUM(AJ89:AJ98),1)</f>
        <v>5102.3999999999996</v>
      </c>
      <c r="AK99" s="2032"/>
      <c r="AL99" s="1420">
        <f>ROUND(SUM(+AJ99/AG99),3)</f>
        <v>7.4999999999999997E-2</v>
      </c>
      <c r="AR99" s="2000"/>
      <c r="AS99" s="1997"/>
      <c r="AT99" s="2000"/>
    </row>
    <row r="100" spans="1:46" s="2163" customFormat="1" ht="15" customHeight="1">
      <c r="A100" s="2420"/>
      <c r="B100" s="2420" t="s">
        <v>168</v>
      </c>
      <c r="C100" s="2420"/>
      <c r="D100" s="1974"/>
      <c r="E100" s="2484"/>
      <c r="F100" s="1974"/>
      <c r="G100" s="2484"/>
      <c r="H100" s="1427"/>
      <c r="I100" s="2484"/>
      <c r="J100" s="1427"/>
      <c r="K100" s="2496"/>
      <c r="L100" s="1974"/>
      <c r="M100" s="2496"/>
      <c r="N100" s="1974"/>
      <c r="O100" s="2496"/>
      <c r="P100" s="1974"/>
      <c r="Q100" s="2496"/>
      <c r="R100" s="1974"/>
      <c r="S100" s="2496"/>
      <c r="T100" s="1974"/>
      <c r="U100" s="2496"/>
      <c r="V100" s="1974"/>
      <c r="W100" s="2496"/>
      <c r="X100" s="1974"/>
      <c r="Y100" s="2496"/>
      <c r="Z100" s="1974"/>
      <c r="AA100" s="1974"/>
      <c r="AB100" s="1974"/>
      <c r="AC100" s="2018"/>
      <c r="AD100" s="1974"/>
      <c r="AE100" s="1974"/>
      <c r="AF100" s="2018"/>
      <c r="AG100" s="1974"/>
      <c r="AH100" s="3413"/>
      <c r="AI100" s="1956"/>
      <c r="AJ100" s="1979"/>
      <c r="AL100" s="1797"/>
      <c r="AS100" s="1970"/>
    </row>
    <row r="101" spans="1:46" s="2163" customFormat="1" ht="15" customHeight="1">
      <c r="A101" s="2420"/>
      <c r="B101" s="2420" t="s">
        <v>152</v>
      </c>
      <c r="C101" s="2420"/>
      <c r="D101" s="2011">
        <f>'Exhibit G State'!D101+'Exhibit G Federal'!D72</f>
        <v>450.6</v>
      </c>
      <c r="E101" s="2506"/>
      <c r="F101" s="2011">
        <f>'Exhibit G State'!F101+'Exhibit G Federal'!F72</f>
        <v>456.9</v>
      </c>
      <c r="G101" s="2506"/>
      <c r="H101" s="2011">
        <f>'Exhibit G State'!H101+'Exhibit G Federal'!H72</f>
        <v>785.30000000000007</v>
      </c>
      <c r="I101" s="2484"/>
      <c r="J101" s="2011">
        <f>'Exhibit G State'!J101+'Exhibit G Federal'!J72</f>
        <v>473.5</v>
      </c>
      <c r="K101" s="2496"/>
      <c r="L101" s="2011">
        <f>'Exhibit G State'!L101+'Exhibit G Federal'!L72</f>
        <v>439.90000000000009</v>
      </c>
      <c r="M101" s="2496"/>
      <c r="N101" s="2011">
        <f>'Exhibit G State'!N101+'Exhibit G Federal'!N72</f>
        <v>666.10000000000014</v>
      </c>
      <c r="O101" s="2496"/>
      <c r="P101" s="2011">
        <f>'Exhibit G State'!P101+'Exhibit G Federal'!P72</f>
        <v>433.69999999999993</v>
      </c>
      <c r="Q101" s="2496"/>
      <c r="R101" s="2011">
        <f>'Exhibit G State'!R101+'Exhibit G Federal'!R72</f>
        <v>559.39999999999975</v>
      </c>
      <c r="S101" s="2496"/>
      <c r="T101" s="2011">
        <f>'Exhibit G State'!T101+'Exhibit G Federal'!T72</f>
        <v>1125.3000000000002</v>
      </c>
      <c r="U101" s="2496"/>
      <c r="V101" s="2011">
        <f>'Exhibit G State'!V101+'Exhibit G Federal'!V72</f>
        <v>447.80000000000018</v>
      </c>
      <c r="W101" s="2496"/>
      <c r="X101" s="2011"/>
      <c r="Y101" s="2496"/>
      <c r="Z101" s="2011"/>
      <c r="AA101" s="2011"/>
      <c r="AB101" s="1974">
        <v>0</v>
      </c>
      <c r="AC101" s="2018"/>
      <c r="AD101" s="1974">
        <f>ROUND(SUM(D101:Z101),1)</f>
        <v>5838.5</v>
      </c>
      <c r="AE101" s="1974"/>
      <c r="AF101" s="2018"/>
      <c r="AG101" s="2011">
        <f>'Exhibit G State'!AG101+'Exhibit G Federal'!AG72</f>
        <v>6558.4</v>
      </c>
      <c r="AH101" s="3413"/>
      <c r="AI101" s="1956"/>
      <c r="AJ101" s="1979">
        <f>ROUND(SUM(+AD101-AG101),1)</f>
        <v>-719.9</v>
      </c>
      <c r="AK101" s="2504"/>
      <c r="AL101" s="1703">
        <f>ROUND(IF(AG101=0,0,AJ101/ABS(AG101)),3)</f>
        <v>-0.11</v>
      </c>
    </row>
    <row r="102" spans="1:46" s="2163" customFormat="1" ht="15" customHeight="1">
      <c r="A102" s="2420"/>
      <c r="B102" s="2420" t="s">
        <v>169</v>
      </c>
      <c r="C102" s="2420"/>
      <c r="D102" s="2011">
        <f>'Exhibit G State'!D102+'Exhibit G Federal'!D73</f>
        <v>382.5</v>
      </c>
      <c r="E102" s="2506"/>
      <c r="F102" s="2011">
        <f>'Exhibit G State'!F102+'Exhibit G Federal'!F73</f>
        <v>339.6</v>
      </c>
      <c r="G102" s="2506"/>
      <c r="H102" s="2011">
        <f>'Exhibit G State'!H102+'Exhibit G Federal'!H73</f>
        <v>681.9</v>
      </c>
      <c r="I102" s="2484"/>
      <c r="J102" s="2011">
        <f>'Exhibit G State'!J102+'Exhibit G Federal'!J73</f>
        <v>382.4</v>
      </c>
      <c r="K102" s="2496"/>
      <c r="L102" s="2011">
        <f>'Exhibit G State'!L102+'Exhibit G Federal'!L73</f>
        <v>478.70000000000016</v>
      </c>
      <c r="M102" s="2496"/>
      <c r="N102" s="2011">
        <f>'Exhibit G State'!N102+'Exhibit G Federal'!N73</f>
        <v>440.29999999999995</v>
      </c>
      <c r="O102" s="2496"/>
      <c r="P102" s="2011">
        <f>'Exhibit G State'!P102+'Exhibit G Federal'!P73</f>
        <v>444.5999999999998</v>
      </c>
      <c r="Q102" s="2496"/>
      <c r="R102" s="2011">
        <f>'Exhibit G State'!R102+'Exhibit G Federal'!R73</f>
        <v>479.50000000000011</v>
      </c>
      <c r="S102" s="2496"/>
      <c r="T102" s="2011">
        <f>'Exhibit G State'!T102+'Exhibit G Federal'!T73</f>
        <v>458.89999999999975</v>
      </c>
      <c r="U102" s="2496"/>
      <c r="V102" s="2011">
        <f>'Exhibit G State'!V102+'Exhibit G Federal'!V73</f>
        <v>439.49999999999989</v>
      </c>
      <c r="W102" s="2496"/>
      <c r="X102" s="2011"/>
      <c r="Y102" s="2496"/>
      <c r="Z102" s="2011"/>
      <c r="AA102" s="2011"/>
      <c r="AB102" s="1974">
        <v>0</v>
      </c>
      <c r="AC102" s="2018"/>
      <c r="AD102" s="1974">
        <f>ROUND(SUM(D102:Z102),1)</f>
        <v>4527.8999999999996</v>
      </c>
      <c r="AE102" s="1974"/>
      <c r="AF102" s="2018"/>
      <c r="AG102" s="2011">
        <f>'Exhibit G State'!AG102+'Exhibit G Federal'!AG73</f>
        <v>4327.1000000000004</v>
      </c>
      <c r="AH102" s="3413"/>
      <c r="AI102" s="1956"/>
      <c r="AJ102" s="1979">
        <f>ROUND(SUM(+AD102-AG102),1)</f>
        <v>200.8</v>
      </c>
      <c r="AK102" s="2504"/>
      <c r="AL102" s="1703">
        <f>ROUND(IF(AG102=0,0,AJ102/ABS(AG102)),3)</f>
        <v>4.5999999999999999E-2</v>
      </c>
    </row>
    <row r="103" spans="1:46" s="2163" customFormat="1" ht="15" customHeight="1">
      <c r="A103" s="2420"/>
      <c r="B103" s="2420" t="s">
        <v>170</v>
      </c>
      <c r="C103" s="2420"/>
      <c r="D103" s="2011">
        <f>'Exhibit G State'!D103+'Exhibit G Federal'!D74</f>
        <v>85.199999999999989</v>
      </c>
      <c r="E103" s="2506"/>
      <c r="F103" s="2011">
        <f>'Exhibit G State'!F103+'Exhibit G Federal'!F74</f>
        <v>90.4</v>
      </c>
      <c r="G103" s="2506"/>
      <c r="H103" s="2011">
        <f>'Exhibit G State'!H103+'Exhibit G Federal'!H74</f>
        <v>233</v>
      </c>
      <c r="I103" s="2484"/>
      <c r="J103" s="2011">
        <f>'Exhibit G State'!J103+'Exhibit G Federal'!J74</f>
        <v>226.6</v>
      </c>
      <c r="K103" s="2496"/>
      <c r="L103" s="2011">
        <f>'Exhibit G State'!L103+'Exhibit G Federal'!L74</f>
        <v>106.10000000000005</v>
      </c>
      <c r="M103" s="2496"/>
      <c r="N103" s="2011">
        <f>'Exhibit G State'!N103+'Exhibit G Federal'!N74</f>
        <v>119.99999999999997</v>
      </c>
      <c r="O103" s="2496"/>
      <c r="P103" s="2011">
        <f>'Exhibit G State'!P103+'Exhibit G Federal'!P74</f>
        <v>90.099999999999909</v>
      </c>
      <c r="Q103" s="2496"/>
      <c r="R103" s="2011">
        <f>'Exhibit G State'!R103+'Exhibit G Federal'!R74</f>
        <v>185.10000000000019</v>
      </c>
      <c r="S103" s="2496"/>
      <c r="T103" s="2011">
        <f>'Exhibit G State'!T103+'Exhibit G Federal'!T74</f>
        <v>621.5</v>
      </c>
      <c r="U103" s="2496"/>
      <c r="V103" s="2011">
        <f>'Exhibit G State'!V103+'Exhibit G Federal'!V74</f>
        <v>98.900000000000063</v>
      </c>
      <c r="W103" s="2496"/>
      <c r="X103" s="2011"/>
      <c r="Y103" s="2496"/>
      <c r="Z103" s="2011"/>
      <c r="AA103" s="2011"/>
      <c r="AB103" s="1974">
        <v>0</v>
      </c>
      <c r="AC103" s="2018"/>
      <c r="AD103" s="1974">
        <f>ROUND(SUM(D103:Z103),1)</f>
        <v>1856.9</v>
      </c>
      <c r="AE103" s="1974"/>
      <c r="AF103" s="2018"/>
      <c r="AG103" s="2011">
        <f>'Exhibit G State'!AG103+'Exhibit G Federal'!AG74</f>
        <v>2007.3</v>
      </c>
      <c r="AH103" s="3413"/>
      <c r="AI103" s="1956"/>
      <c r="AJ103" s="1979">
        <f>ROUND(SUM(+AD103-AG103),1)</f>
        <v>-150.4</v>
      </c>
      <c r="AK103" s="2504"/>
      <c r="AL103" s="1703">
        <f>ROUND(IF(AG103=0,0,AJ103/ABS(AG103)),3)</f>
        <v>-7.4999999999999997E-2</v>
      </c>
    </row>
    <row r="104" spans="1:46" s="2163" customFormat="1" ht="15" customHeight="1">
      <c r="A104" s="2420"/>
      <c r="B104" s="3042" t="s">
        <v>1278</v>
      </c>
      <c r="C104" s="2420"/>
      <c r="D104" s="2011"/>
      <c r="E104" s="2506"/>
      <c r="F104" s="2011"/>
      <c r="G104" s="2506"/>
      <c r="H104" s="2011"/>
      <c r="I104" s="2484"/>
      <c r="J104" s="2011"/>
      <c r="K104" s="2496"/>
      <c r="L104" s="2011"/>
      <c r="M104" s="2496"/>
      <c r="N104" s="2011"/>
      <c r="O104" s="2496"/>
      <c r="P104" s="2011"/>
      <c r="Q104" s="2496"/>
      <c r="R104" s="2011"/>
      <c r="S104" s="2496"/>
      <c r="T104" s="2011"/>
      <c r="U104" s="2496"/>
      <c r="V104" s="2011"/>
      <c r="W104" s="2496"/>
      <c r="X104" s="2011"/>
      <c r="Y104" s="2496"/>
      <c r="Z104" s="2011"/>
      <c r="AA104" s="2011"/>
      <c r="AB104" s="1974"/>
      <c r="AC104" s="2018"/>
      <c r="AD104" s="1974"/>
      <c r="AE104" s="1974"/>
      <c r="AF104" s="2018"/>
      <c r="AG104" s="2011"/>
      <c r="AH104" s="3413"/>
      <c r="AI104" s="1956"/>
      <c r="AJ104" s="1979"/>
      <c r="AK104" s="2504"/>
      <c r="AL104" s="1703"/>
    </row>
    <row r="105" spans="1:46" s="2163" customFormat="1" ht="15" customHeight="1">
      <c r="A105" s="2420"/>
      <c r="B105" s="3042" t="s">
        <v>1371</v>
      </c>
      <c r="C105" s="2420"/>
      <c r="D105" s="2011">
        <f>'Exhibit G Federal'!D76</f>
        <v>0</v>
      </c>
      <c r="E105" s="2506"/>
      <c r="F105" s="2011">
        <f>'Exhibit G Federal'!F76</f>
        <v>0</v>
      </c>
      <c r="G105" s="2506"/>
      <c r="H105" s="2011">
        <f>'Exhibit G Federal'!H76</f>
        <v>42.3</v>
      </c>
      <c r="I105" s="2484"/>
      <c r="J105" s="2011">
        <f>'Exhibit G Federal'!J76</f>
        <v>0</v>
      </c>
      <c r="K105" s="2496"/>
      <c r="L105" s="2011">
        <f>'Exhibit G Federal'!L76</f>
        <v>0</v>
      </c>
      <c r="M105" s="2496"/>
      <c r="N105" s="2011">
        <f>'Exhibit G Federal'!N76</f>
        <v>0</v>
      </c>
      <c r="O105" s="2496"/>
      <c r="P105" s="2011">
        <f>'Exhibit G Federal'!P76</f>
        <v>0</v>
      </c>
      <c r="Q105" s="2496"/>
      <c r="R105" s="2011">
        <f>'Exhibit G Federal'!R76</f>
        <v>0</v>
      </c>
      <c r="S105" s="2496"/>
      <c r="T105" s="2011">
        <f>'Exhibit G Federal'!T76</f>
        <v>0</v>
      </c>
      <c r="U105" s="2496"/>
      <c r="V105" s="2011">
        <f>'Exhibit G Federal'!V76</f>
        <v>0</v>
      </c>
      <c r="W105" s="2496"/>
      <c r="X105" s="2011"/>
      <c r="Y105" s="2496"/>
      <c r="Z105" s="2011"/>
      <c r="AA105" s="2011"/>
      <c r="AB105" s="1974">
        <v>0</v>
      </c>
      <c r="AC105" s="2018"/>
      <c r="AD105" s="1974">
        <f>ROUND(SUM(D105:Z105),1)</f>
        <v>42.3</v>
      </c>
      <c r="AE105" s="1974"/>
      <c r="AF105" s="2018"/>
      <c r="AG105" s="2011">
        <f>'Exhibit G Federal'!AG76</f>
        <v>102.2</v>
      </c>
      <c r="AH105" s="3413"/>
      <c r="AI105" s="1956"/>
      <c r="AJ105" s="1979">
        <f>ROUND(SUM(+AD105-AG105),1)</f>
        <v>-59.9</v>
      </c>
      <c r="AK105" s="2504"/>
      <c r="AL105" s="1703">
        <f>ROUND(IF(AG105=0,1,AJ105/ABS(AG105)),3)</f>
        <v>-0.58599999999999997</v>
      </c>
    </row>
    <row r="106" spans="1:46" s="2163" customFormat="1" ht="15" customHeight="1">
      <c r="A106" s="2420"/>
      <c r="B106" s="2420" t="s">
        <v>171</v>
      </c>
      <c r="C106" s="2420"/>
      <c r="D106" s="2011">
        <f>'Exhibit G State'!D104+'Exhibit G Federal'!D77</f>
        <v>0</v>
      </c>
      <c r="E106" s="2506"/>
      <c r="F106" s="2011">
        <f>'Exhibit G State'!F104+'Exhibit G Federal'!F77</f>
        <v>0</v>
      </c>
      <c r="G106" s="2506"/>
      <c r="H106" s="2011">
        <f>'Exhibit G State'!H104+'Exhibit G Federal'!H77</f>
        <v>0</v>
      </c>
      <c r="I106" s="2484"/>
      <c r="J106" s="2011">
        <f>'Exhibit G State'!J104+'Exhibit G Federal'!J77</f>
        <v>0</v>
      </c>
      <c r="K106" s="2496"/>
      <c r="L106" s="2011">
        <f>'Exhibit G State'!L104+'Exhibit G Federal'!L77</f>
        <v>0</v>
      </c>
      <c r="M106" s="2496"/>
      <c r="N106" s="2011">
        <f>'Exhibit G State'!N104+'Exhibit G Federal'!N77</f>
        <v>0</v>
      </c>
      <c r="O106" s="2496"/>
      <c r="P106" s="2011">
        <f>'Exhibit G State'!P104+'Exhibit G Federal'!P77</f>
        <v>0</v>
      </c>
      <c r="Q106" s="2496"/>
      <c r="R106" s="2011">
        <f>'Exhibit G State'!R104+'Exhibit G Federal'!R77</f>
        <v>0</v>
      </c>
      <c r="S106" s="2496"/>
      <c r="T106" s="2011">
        <f>'Exhibit G State'!T104+'Exhibit G Federal'!T77</f>
        <v>0</v>
      </c>
      <c r="U106" s="2496"/>
      <c r="V106" s="2011">
        <f>'Exhibit G State'!V104+'Exhibit G Federal'!V77</f>
        <v>0</v>
      </c>
      <c r="W106" s="2496"/>
      <c r="X106" s="2011"/>
      <c r="Y106" s="2496"/>
      <c r="Z106" s="2011"/>
      <c r="AA106" s="2011"/>
      <c r="AB106" s="2513">
        <v>0</v>
      </c>
      <c r="AC106" s="2018"/>
      <c r="AD106" s="1974">
        <f>ROUND(SUM(D106:Z106),1)</f>
        <v>0</v>
      </c>
      <c r="AE106" s="1974"/>
      <c r="AF106" s="2018"/>
      <c r="AG106" s="2011">
        <f>'Exhibit G State'!AG104+'Exhibit G Federal'!AG77</f>
        <v>2.2999999999999998</v>
      </c>
      <c r="AH106" s="3413"/>
      <c r="AI106" s="1956"/>
      <c r="AJ106" s="2020">
        <f>ROUND(SUM(+AD106-AG106),1)</f>
        <v>-2.2999999999999998</v>
      </c>
      <c r="AK106" s="2514"/>
      <c r="AL106" s="1703">
        <f>ROUND(IF(AG106=0,0,AJ106/ABS(AG106)),3)</f>
        <v>-1</v>
      </c>
    </row>
    <row r="107" spans="1:46" s="2163" customFormat="1" ht="15" customHeight="1">
      <c r="A107" s="2420"/>
      <c r="B107" s="2420"/>
      <c r="C107" s="2420"/>
      <c r="D107" s="2030"/>
      <c r="E107" s="2484"/>
      <c r="F107" s="2030"/>
      <c r="G107" s="2484"/>
      <c r="H107" s="2447"/>
      <c r="I107" s="2484"/>
      <c r="J107" s="2447"/>
      <c r="K107" s="2496"/>
      <c r="L107" s="2030"/>
      <c r="M107" s="2496"/>
      <c r="N107" s="2030"/>
      <c r="O107" s="2496"/>
      <c r="P107" s="2030"/>
      <c r="Q107" s="2496"/>
      <c r="R107" s="2030"/>
      <c r="S107" s="2496"/>
      <c r="T107" s="2030"/>
      <c r="U107" s="2496"/>
      <c r="V107" s="2030"/>
      <c r="W107" s="2496"/>
      <c r="X107" s="2030"/>
      <c r="Y107" s="2496"/>
      <c r="Z107" s="2030"/>
      <c r="AA107" s="1956"/>
      <c r="AB107" s="1974"/>
      <c r="AC107" s="2018"/>
      <c r="AD107" s="2030"/>
      <c r="AE107" s="1974"/>
      <c r="AF107" s="2018"/>
      <c r="AG107" s="2030"/>
      <c r="AH107" s="3413"/>
      <c r="AI107" s="1956"/>
      <c r="AJ107" s="2524"/>
      <c r="AL107" s="2525"/>
    </row>
    <row r="108" spans="1:46" s="2163" customFormat="1" ht="15" customHeight="1">
      <c r="A108" s="2420"/>
      <c r="B108" s="2507" t="s">
        <v>155</v>
      </c>
      <c r="C108" s="2420"/>
      <c r="D108" s="2029">
        <f>ROUND(SUM(D99:D106),1)</f>
        <v>6014.5</v>
      </c>
      <c r="E108" s="2484"/>
      <c r="F108" s="2029">
        <f>ROUND(SUM(F99:F106),1)</f>
        <v>6886.1</v>
      </c>
      <c r="G108" s="2484"/>
      <c r="H108" s="1445">
        <f>ROUND(SUM(H99:H106),1)</f>
        <v>9562.5</v>
      </c>
      <c r="I108" s="2484"/>
      <c r="J108" s="1445">
        <f>ROUND(SUM(J99:J106),1)</f>
        <v>7481.3</v>
      </c>
      <c r="K108" s="2496"/>
      <c r="L108" s="2029">
        <f t="shared" ref="L108" si="28">ROUND(SUM(L99:L106),1)</f>
        <v>8145.3</v>
      </c>
      <c r="M108" s="2496"/>
      <c r="N108" s="2029">
        <f t="shared" ref="N108" si="29">ROUND(SUM(N99:N106),1)</f>
        <v>10891.4</v>
      </c>
      <c r="O108" s="2496"/>
      <c r="P108" s="2029">
        <f t="shared" ref="P108" si="30">ROUND(SUM(P99:P106),1)</f>
        <v>8314.7999999999993</v>
      </c>
      <c r="Q108" s="2496"/>
      <c r="R108" s="2029">
        <f t="shared" ref="R108:T108" si="31">ROUND(SUM(R99:R106),1)</f>
        <v>7899.4</v>
      </c>
      <c r="S108" s="2496"/>
      <c r="T108" s="2029">
        <f t="shared" si="31"/>
        <v>10951.6</v>
      </c>
      <c r="U108" s="2496"/>
      <c r="V108" s="2029">
        <f t="shared" ref="V108" si="32">ROUND(SUM(V99:V106),1)</f>
        <v>9514.2000000000007</v>
      </c>
      <c r="W108" s="2496"/>
      <c r="X108" s="2029">
        <f t="shared" ref="X108:Z108" si="33">ROUND(SUM(X99:X106),1)</f>
        <v>0</v>
      </c>
      <c r="Y108" s="2496"/>
      <c r="Z108" s="2029">
        <f t="shared" si="33"/>
        <v>0</v>
      </c>
      <c r="AA108" s="2029"/>
      <c r="AB108" s="2526">
        <v>0</v>
      </c>
      <c r="AC108" s="2508"/>
      <c r="AD108" s="2029">
        <f>ROUND(SUM(AD99:AD106),1)</f>
        <v>85661.1</v>
      </c>
      <c r="AE108" s="2029"/>
      <c r="AF108" s="2508"/>
      <c r="AG108" s="2029">
        <f>ROUND(SUM(AG99:AG106),1)</f>
        <v>81290.399999999994</v>
      </c>
      <c r="AH108" s="3416"/>
      <c r="AI108" s="1446"/>
      <c r="AJ108" s="2033">
        <f>ROUND(SUM(AJ99:AJ106),1)</f>
        <v>4370.7</v>
      </c>
      <c r="AK108" s="2392"/>
      <c r="AL108" s="2527">
        <f>ROUND(SUM(+AJ108/AG108),3)</f>
        <v>5.3999999999999999E-2</v>
      </c>
    </row>
    <row r="109" spans="1:46" ht="15" customHeight="1">
      <c r="A109" s="2023"/>
      <c r="B109" s="2023"/>
      <c r="C109" s="2023"/>
      <c r="D109" s="1984"/>
      <c r="F109" s="1984"/>
      <c r="H109" s="2447"/>
      <c r="J109" s="2447"/>
      <c r="L109" s="1984"/>
      <c r="N109" s="1984"/>
      <c r="P109" s="1984"/>
      <c r="R109" s="1984"/>
      <c r="T109" s="1984"/>
      <c r="V109" s="1984"/>
      <c r="X109" s="1984"/>
      <c r="Z109" s="1984"/>
      <c r="AA109" s="1986"/>
      <c r="AB109" s="1985"/>
      <c r="AC109" s="2016"/>
      <c r="AD109" s="2030"/>
      <c r="AE109" s="1974"/>
      <c r="AF109" s="2018"/>
      <c r="AG109" s="2030"/>
      <c r="AH109" s="3413"/>
      <c r="AI109" s="1986"/>
      <c r="AJ109" s="1427"/>
      <c r="AL109" s="1416"/>
    </row>
    <row r="110" spans="1:46" ht="15" customHeight="1">
      <c r="A110" s="2023"/>
      <c r="B110" s="2382" t="s">
        <v>156</v>
      </c>
      <c r="C110" s="2023"/>
      <c r="D110" s="1985"/>
      <c r="F110" s="1985"/>
      <c r="H110" s="1427"/>
      <c r="J110" s="1427"/>
      <c r="L110" s="1985"/>
      <c r="N110" s="1985"/>
      <c r="P110" s="1985"/>
      <c r="R110" s="1985"/>
      <c r="T110" s="1985"/>
      <c r="V110" s="1985"/>
      <c r="X110" s="1985"/>
      <c r="Z110" s="1985"/>
      <c r="AA110" s="1985"/>
      <c r="AB110" s="1985"/>
      <c r="AC110" s="2016"/>
      <c r="AD110" s="1974" t="s">
        <v>157</v>
      </c>
      <c r="AE110" s="3391"/>
      <c r="AF110" s="3392"/>
      <c r="AG110" s="1974"/>
      <c r="AH110" s="3418"/>
      <c r="AI110" s="2528"/>
      <c r="AJ110" s="1427"/>
      <c r="AL110" s="1416"/>
    </row>
    <row r="111" spans="1:46" ht="15" customHeight="1">
      <c r="A111" s="2023"/>
      <c r="B111" s="2382" t="s">
        <v>44</v>
      </c>
      <c r="C111" s="2023"/>
      <c r="D111" s="1445">
        <f>ROUND(SUM(D85-D108),1)</f>
        <v>2863</v>
      </c>
      <c r="F111" s="1445">
        <f>ROUND(SUM(F85-F108),1)</f>
        <v>12857.4</v>
      </c>
      <c r="G111" s="1445">
        <f>ROUND(SUM(G85-G108),1)</f>
        <v>0</v>
      </c>
      <c r="H111" s="1445">
        <f>ROUND(SUM(H85-H108),1)</f>
        <v>-52.3</v>
      </c>
      <c r="J111" s="1445">
        <f>ROUND(SUM(J85-J108),1)</f>
        <v>-76.900000000000006</v>
      </c>
      <c r="L111" s="1445">
        <f>ROUND(SUM(L85-L108),1)</f>
        <v>-611.70000000000005</v>
      </c>
      <c r="N111" s="1445">
        <f>ROUND(SUM(N85-N108),1)</f>
        <v>-1060.5999999999999</v>
      </c>
      <c r="P111" s="1445">
        <f>ROUND(SUM(P85-P108),1)</f>
        <v>586.79999999999995</v>
      </c>
      <c r="R111" s="1445">
        <f>ROUND(SUM(R85-R108),1)</f>
        <v>-426.9</v>
      </c>
      <c r="T111" s="1445">
        <f>ROUND(SUM(T85-T108),1)</f>
        <v>1485.5</v>
      </c>
      <c r="V111" s="1445">
        <f>ROUND(SUM(V85-V108),1)</f>
        <v>-239.9</v>
      </c>
      <c r="X111" s="1445">
        <f>ROUND(SUM(X85-X108),1)</f>
        <v>0</v>
      </c>
      <c r="Z111" s="2029">
        <f>ROUND(SUM(Z85-Z108),1)</f>
        <v>0</v>
      </c>
      <c r="AA111" s="2029"/>
      <c r="AB111" s="2526">
        <v>0</v>
      </c>
      <c r="AC111" s="2508"/>
      <c r="AD111" s="2029">
        <f>ROUND(SUM(AD85-AD108),1)</f>
        <v>15324.4</v>
      </c>
      <c r="AE111" s="2029"/>
      <c r="AF111" s="2508"/>
      <c r="AG111" s="2029">
        <f>ROUND(SUM(AG85-AG108),1)</f>
        <v>3769.8</v>
      </c>
      <c r="AH111" s="3416"/>
      <c r="AI111" s="1446"/>
      <c r="AJ111" s="1540">
        <f>ROUND(SUM(AJ85-AJ108),1)</f>
        <v>11554.6</v>
      </c>
      <c r="AK111" s="2383"/>
      <c r="AL111" s="1837">
        <f>ROUND(SUM(+AJ111/ABS(AG111)),3)</f>
        <v>3.0649999999999999</v>
      </c>
    </row>
    <row r="112" spans="1:46" ht="15" customHeight="1">
      <c r="A112" s="2023"/>
      <c r="B112" s="2023"/>
      <c r="C112" s="2023"/>
      <c r="D112" s="1984"/>
      <c r="F112" s="1984"/>
      <c r="H112" s="2447"/>
      <c r="J112" s="2447"/>
      <c r="L112" s="1984"/>
      <c r="N112" s="1984"/>
      <c r="P112" s="1984"/>
      <c r="R112" s="1984"/>
      <c r="T112" s="1984"/>
      <c r="V112" s="1984"/>
      <c r="X112" s="1984"/>
      <c r="Z112" s="2030"/>
      <c r="AA112" s="1956"/>
      <c r="AB112" s="1974"/>
      <c r="AC112" s="2018"/>
      <c r="AD112" s="2030"/>
      <c r="AE112" s="1974"/>
      <c r="AF112" s="2018"/>
      <c r="AG112" s="2030"/>
      <c r="AH112" s="3413"/>
      <c r="AI112" s="1956"/>
      <c r="AJ112" s="1979"/>
      <c r="AL112" s="1416"/>
    </row>
    <row r="113" spans="1:49" ht="15" customHeight="1">
      <c r="A113" s="2023"/>
      <c r="B113" s="2382" t="s">
        <v>45</v>
      </c>
      <c r="C113" s="2023"/>
      <c r="D113" s="1985"/>
      <c r="F113" s="1985"/>
      <c r="H113" s="1427"/>
      <c r="J113" s="1427"/>
      <c r="L113" s="1985"/>
      <c r="N113" s="1985"/>
      <c r="P113" s="1985"/>
      <c r="R113" s="1985"/>
      <c r="T113" s="1985"/>
      <c r="V113" s="1985"/>
      <c r="X113" s="1985"/>
      <c r="Z113" s="1979" t="s">
        <v>14</v>
      </c>
      <c r="AA113" s="1974"/>
      <c r="AB113" s="1974"/>
      <c r="AC113" s="2018"/>
      <c r="AD113" s="1974"/>
      <c r="AE113" s="1974"/>
      <c r="AF113" s="2018"/>
      <c r="AG113" s="1974"/>
      <c r="AH113" s="3413"/>
      <c r="AI113" s="1956"/>
      <c r="AJ113" s="1979"/>
      <c r="AL113" s="1416"/>
    </row>
    <row r="114" spans="1:49" s="2163" customFormat="1" ht="15" customHeight="1">
      <c r="A114" s="2420"/>
      <c r="B114" s="2420" t="s">
        <v>172</v>
      </c>
      <c r="C114" s="2420"/>
      <c r="D114" s="2529">
        <f>+'Exhibit G State'!D112+'Exhibit G Federal'!D85</f>
        <v>263.5</v>
      </c>
      <c r="E114" s="2011"/>
      <c r="F114" s="2529">
        <f>+'Exhibit G State'!F112+'Exhibit G Federal'!F85</f>
        <v>151</v>
      </c>
      <c r="G114" s="2011"/>
      <c r="H114" s="2529">
        <f>+'Exhibit G State'!H112+'Exhibit G Federal'!H85</f>
        <v>908.3</v>
      </c>
      <c r="I114" s="2529"/>
      <c r="J114" s="2529">
        <f>+'Exhibit G State'!J112+'Exhibit G Federal'!J85</f>
        <v>593.20000000000005</v>
      </c>
      <c r="K114" s="2496"/>
      <c r="L114" s="2529">
        <f>+'Exhibit G State'!L112+'Exhibit G Federal'!L85</f>
        <v>109.40000000000009</v>
      </c>
      <c r="M114" s="2496"/>
      <c r="N114" s="2529">
        <f>+'Exhibit G State'!N112+'Exhibit G Federal'!N85</f>
        <v>183</v>
      </c>
      <c r="O114" s="2496"/>
      <c r="P114" s="2529">
        <f>+'Exhibit G State'!P112+'Exhibit G Federal'!P85</f>
        <v>119.79999999999973</v>
      </c>
      <c r="Q114" s="2496"/>
      <c r="R114" s="2529">
        <f>+'Exhibit G State'!R112+'Exhibit G Federal'!R85</f>
        <v>205.5</v>
      </c>
      <c r="S114" s="2496"/>
      <c r="T114" s="2529">
        <f>+'Exhibit G State'!T112+'Exhibit G Federal'!T85</f>
        <v>155.70000000000027</v>
      </c>
      <c r="U114" s="2496"/>
      <c r="V114" s="2529">
        <f>+'Exhibit G State'!V112+'Exhibit G Federal'!V85</f>
        <v>53.799999999999727</v>
      </c>
      <c r="W114" s="2496"/>
      <c r="X114" s="2529"/>
      <c r="Y114" s="2496"/>
      <c r="Z114" s="2529"/>
      <c r="AA114" s="2099"/>
      <c r="AB114" s="1768">
        <v>-509.7</v>
      </c>
      <c r="AC114" s="2018"/>
      <c r="AD114" s="1974">
        <f>ROUND(SUM(D114:AB114),1)</f>
        <v>2233.5</v>
      </c>
      <c r="AE114" s="1974"/>
      <c r="AF114" s="2018"/>
      <c r="AG114" s="2011">
        <f>'Exhibit G State'!AG112+'Exhibit G Federal'!AG85-569.4</f>
        <v>1889.2999999999997</v>
      </c>
      <c r="AH114" s="3413"/>
      <c r="AI114" s="1956"/>
      <c r="AJ114" s="2020">
        <f>ROUND(SUM(+AD114-AG114),1)</f>
        <v>344.2</v>
      </c>
      <c r="AK114" s="2514"/>
      <c r="AL114" s="1703">
        <f>ROUND(IF(AG114=0,0,AJ114/ABS(AG114)),3)</f>
        <v>0.182</v>
      </c>
    </row>
    <row r="115" spans="1:49" s="2163" customFormat="1" ht="15" customHeight="1">
      <c r="A115" s="2420"/>
      <c r="B115" s="2420" t="s">
        <v>173</v>
      </c>
      <c r="C115" s="2420"/>
      <c r="D115" s="2529">
        <f>+'Exhibit G State'!D113+'Exhibit G Federal'!D86</f>
        <v>-165.9</v>
      </c>
      <c r="E115" s="2011"/>
      <c r="F115" s="2529">
        <f>+'Exhibit G State'!F113+'Exhibit G Federal'!F86</f>
        <v>-135.6</v>
      </c>
      <c r="G115" s="2011"/>
      <c r="H115" s="2529">
        <f>+'Exhibit G State'!H113+'Exhibit G Federal'!H86</f>
        <v>-242.70000000000007</v>
      </c>
      <c r="I115" s="2496"/>
      <c r="J115" s="2529">
        <f>+'Exhibit G State'!J113+'Exhibit G Federal'!J86</f>
        <v>-351.29999999999995</v>
      </c>
      <c r="K115" s="2496"/>
      <c r="L115" s="2529">
        <f>+'Exhibit G State'!L113+'Exhibit G Federal'!L86</f>
        <v>-78.70000000000006</v>
      </c>
      <c r="M115" s="2496"/>
      <c r="N115" s="2529">
        <f>+'Exhibit G State'!N113+'Exhibit G Federal'!N86</f>
        <v>-199.80000000000007</v>
      </c>
      <c r="O115" s="2496"/>
      <c r="P115" s="2529">
        <f>+'Exhibit G State'!P113+'Exhibit G Federal'!P86</f>
        <v>-176.59999999999985</v>
      </c>
      <c r="Q115" s="2496"/>
      <c r="R115" s="2529">
        <f>+'Exhibit G State'!R113+'Exhibit G Federal'!R86</f>
        <v>-83.000000000000028</v>
      </c>
      <c r="S115" s="2496"/>
      <c r="T115" s="2529">
        <f>+'Exhibit G State'!T113+'Exhibit G Federal'!T86</f>
        <v>-285.7</v>
      </c>
      <c r="U115" s="2496"/>
      <c r="V115" s="2529">
        <f>+'Exhibit G State'!V113+'Exhibit G Federal'!V86</f>
        <v>-185.49999999999977</v>
      </c>
      <c r="W115" s="2496"/>
      <c r="X115" s="2529"/>
      <c r="Y115" s="2496"/>
      <c r="Z115" s="2529"/>
      <c r="AA115" s="2099"/>
      <c r="AB115" s="3374">
        <v>509.7</v>
      </c>
      <c r="AC115" s="2018"/>
      <c r="AD115" s="1974">
        <f>ROUND(SUM(D115:AB115),1)</f>
        <v>-1395.1</v>
      </c>
      <c r="AE115" s="1974"/>
      <c r="AF115" s="2018"/>
      <c r="AG115" s="2011">
        <f>'Exhibit G State'!AG113+'Exhibit G Federal'!AG86+569.4</f>
        <v>-1677.2999999999997</v>
      </c>
      <c r="AH115" s="3413"/>
      <c r="AI115" s="1956"/>
      <c r="AJ115" s="2020">
        <f>ROUND(SUM(+AD115-AG115)*-1,1)</f>
        <v>-282.2</v>
      </c>
      <c r="AK115" s="2514"/>
      <c r="AL115" s="1703">
        <f>ROUND(IF(AG115=0,0,AJ115/ABS(AG115)),3)</f>
        <v>-0.16800000000000001</v>
      </c>
    </row>
    <row r="116" spans="1:49" ht="15" customHeight="1">
      <c r="A116" s="2023"/>
      <c r="B116" s="2023"/>
      <c r="C116" s="2023"/>
      <c r="D116" s="1984"/>
      <c r="F116" s="1984"/>
      <c r="H116" s="1984"/>
      <c r="J116" s="1984"/>
      <c r="L116" s="1984"/>
      <c r="N116" s="1984"/>
      <c r="P116" s="1984"/>
      <c r="R116" s="1984"/>
      <c r="T116" s="1984"/>
      <c r="V116" s="1984"/>
      <c r="X116" s="1984"/>
      <c r="Z116" s="2030"/>
      <c r="AA116" s="1956"/>
      <c r="AB116" s="1974"/>
      <c r="AC116" s="2018"/>
      <c r="AD116" s="2030"/>
      <c r="AE116" s="1974"/>
      <c r="AF116" s="2018"/>
      <c r="AG116" s="2030"/>
      <c r="AH116" s="3413"/>
      <c r="AI116" s="1956"/>
      <c r="AJ116" s="2524"/>
      <c r="AL116" s="1430"/>
    </row>
    <row r="117" spans="1:49" ht="15" customHeight="1">
      <c r="A117" s="2023"/>
      <c r="B117" s="2382" t="s">
        <v>1084</v>
      </c>
      <c r="C117" s="2023"/>
      <c r="D117" s="1445">
        <f>ROUND(SUM(D114:D115),1)</f>
        <v>97.6</v>
      </c>
      <c r="F117" s="1445">
        <f>ROUND(SUM(F114:F115),1)</f>
        <v>15.4</v>
      </c>
      <c r="H117" s="1445">
        <f>ROUND(SUM(H114:H115),1)</f>
        <v>665.6</v>
      </c>
      <c r="J117" s="1445">
        <f>ROUND(SUM(J114:J115),1)</f>
        <v>241.9</v>
      </c>
      <c r="L117" s="1445">
        <f>ROUND(SUM(L114:L115),1)</f>
        <v>30.7</v>
      </c>
      <c r="N117" s="1445">
        <f>ROUND(SUM(N114:N115),1)</f>
        <v>-16.8</v>
      </c>
      <c r="P117" s="1445">
        <f>ROUND(SUM(P114:P115),1)</f>
        <v>-56.8</v>
      </c>
      <c r="R117" s="1445">
        <f>ROUND(SUM(R114:R115),1)</f>
        <v>122.5</v>
      </c>
      <c r="T117" s="1445">
        <f>ROUND(SUM(T114:T115),1)</f>
        <v>-130</v>
      </c>
      <c r="V117" s="1445">
        <f>ROUND(SUM(V114:V115),1)</f>
        <v>-131.69999999999999</v>
      </c>
      <c r="X117" s="1445">
        <f>ROUND(SUM(X114:X115),1)</f>
        <v>0</v>
      </c>
      <c r="Z117" s="1445">
        <f>ROUND(SUM(Z114:Z115),1)</f>
        <v>0</v>
      </c>
      <c r="AA117" s="1445"/>
      <c r="AB117" s="2517">
        <f>ROUND(SUM(AB114:AB115),1)</f>
        <v>0</v>
      </c>
      <c r="AC117" s="2019"/>
      <c r="AD117" s="2029">
        <f>ROUND(SUM(AD114:AD115),1)</f>
        <v>838.4</v>
      </c>
      <c r="AE117" s="2029"/>
      <c r="AF117" s="2508"/>
      <c r="AG117" s="2029">
        <f>ROUND(SUM(AG114:AG115),1)</f>
        <v>212</v>
      </c>
      <c r="AH117" s="3416"/>
      <c r="AI117" s="1428"/>
      <c r="AJ117" s="2031">
        <f>ROUND(SUM(AD117-AG117),1)</f>
        <v>626.4</v>
      </c>
      <c r="AK117" s="2032"/>
      <c r="AL117" s="1420">
        <f>ROUND(SUM(+AJ117/AG117),3)</f>
        <v>2.9550000000000001</v>
      </c>
    </row>
    <row r="118" spans="1:49" ht="15" customHeight="1">
      <c r="A118" s="2023"/>
      <c r="B118" s="2023"/>
      <c r="C118" s="2023"/>
      <c r="D118" s="1984"/>
      <c r="F118" s="1984"/>
      <c r="H118" s="1984"/>
      <c r="J118" s="1984"/>
      <c r="L118" s="1984"/>
      <c r="N118" s="1984"/>
      <c r="P118" s="1984"/>
      <c r="R118" s="1984"/>
      <c r="T118" s="1984"/>
      <c r="V118" s="1984"/>
      <c r="X118" s="1984"/>
      <c r="Z118" s="1984"/>
      <c r="AA118" s="1986"/>
      <c r="AB118" s="1985"/>
      <c r="AC118" s="2016"/>
      <c r="AD118" s="2030"/>
      <c r="AE118" s="1974"/>
      <c r="AF118" s="2018"/>
      <c r="AG118" s="2030"/>
      <c r="AH118" s="3413"/>
      <c r="AI118" s="1986"/>
      <c r="AJ118" s="1427"/>
      <c r="AL118" s="1416"/>
    </row>
    <row r="119" spans="1:49" ht="15" customHeight="1">
      <c r="A119" s="2023"/>
      <c r="B119" s="2382" t="s">
        <v>164</v>
      </c>
      <c r="C119" s="2023"/>
      <c r="D119" s="1985"/>
      <c r="F119" s="1985"/>
      <c r="H119" s="1985"/>
      <c r="J119" s="1985"/>
      <c r="L119" s="1985"/>
      <c r="N119" s="1985"/>
      <c r="P119" s="1985"/>
      <c r="R119" s="1985"/>
      <c r="T119" s="1985"/>
      <c r="V119" s="1985"/>
      <c r="X119" s="1985"/>
      <c r="Z119" s="1985"/>
      <c r="AA119" s="1985"/>
      <c r="AB119" s="1985"/>
      <c r="AC119" s="2016"/>
      <c r="AD119" s="1974"/>
      <c r="AE119" s="1974"/>
      <c r="AF119" s="2018"/>
      <c r="AG119" s="1974"/>
      <c r="AH119" s="3413"/>
      <c r="AI119" s="1986"/>
      <c r="AJ119" s="1427"/>
      <c r="AL119" s="1416"/>
    </row>
    <row r="120" spans="1:49" ht="15" customHeight="1">
      <c r="A120" s="2023"/>
      <c r="B120" s="2382" t="s">
        <v>165</v>
      </c>
      <c r="C120" s="2023"/>
      <c r="D120" s="1985"/>
      <c r="F120" s="1985"/>
      <c r="H120" s="1985"/>
      <c r="J120" s="1985"/>
      <c r="L120" s="1985"/>
      <c r="N120" s="1985"/>
      <c r="P120" s="1985"/>
      <c r="R120" s="1985"/>
      <c r="T120" s="1985"/>
      <c r="V120" s="1985"/>
      <c r="X120" s="1985"/>
      <c r="Z120" s="1985"/>
      <c r="AA120" s="1985"/>
      <c r="AB120" s="1985"/>
      <c r="AC120" s="2016"/>
      <c r="AD120" s="1974"/>
      <c r="AE120" s="1974"/>
      <c r="AF120" s="2018"/>
      <c r="AG120" s="1974"/>
      <c r="AH120" s="3413"/>
      <c r="AI120" s="1986"/>
      <c r="AJ120" s="1427"/>
      <c r="AL120" s="1416"/>
    </row>
    <row r="121" spans="1:49" ht="15" customHeight="1">
      <c r="A121" s="2023"/>
      <c r="B121" s="2382" t="s">
        <v>1085</v>
      </c>
      <c r="C121" s="2023"/>
      <c r="D121" s="1445">
        <f>ROUND(SUM(D111+D117),1)</f>
        <v>2960.6</v>
      </c>
      <c r="F121" s="1445">
        <f>ROUND(SUM(F111+F117),1)</f>
        <v>12872.8</v>
      </c>
      <c r="H121" s="1445">
        <f>ROUND(SUM(H111+H117),1)</f>
        <v>613.29999999999995</v>
      </c>
      <c r="J121" s="1445">
        <f>ROUND(SUM(J111+J117),1)</f>
        <v>165</v>
      </c>
      <c r="L121" s="1445">
        <f>ROUND(SUM(L111+L117),1)</f>
        <v>-581</v>
      </c>
      <c r="N121" s="1445">
        <f>ROUND(SUM(N111+N117),1)</f>
        <v>-1077.4000000000001</v>
      </c>
      <c r="P121" s="1445">
        <f>ROUND(SUM(P111+P117),1)</f>
        <v>530</v>
      </c>
      <c r="R121" s="1445">
        <f>ROUND(SUM(R111+R117),1)</f>
        <v>-304.39999999999998</v>
      </c>
      <c r="T121" s="1445">
        <f>ROUND(SUM(T111+T117),1)</f>
        <v>1355.5</v>
      </c>
      <c r="V121" s="1445">
        <f>ROUND(SUM(V111+V117),1)</f>
        <v>-371.6</v>
      </c>
      <c r="X121" s="1445">
        <f>ROUND(SUM(X111+X117),1)</f>
        <v>0</v>
      </c>
      <c r="Z121" s="1445">
        <f>ROUND(SUM(Z111+Z117),1)</f>
        <v>0</v>
      </c>
      <c r="AA121" s="1445"/>
      <c r="AB121" s="2517">
        <f>ROUND(SUM(AB111+AB117),1)</f>
        <v>0</v>
      </c>
      <c r="AC121" s="2019"/>
      <c r="AD121" s="2029">
        <f>ROUND(SUM(AD111+AD117),1)</f>
        <v>16162.8</v>
      </c>
      <c r="AE121" s="2029"/>
      <c r="AF121" s="2508"/>
      <c r="AG121" s="2029">
        <f>ROUND(SUM(AG111+AG117),1)</f>
        <v>3981.8</v>
      </c>
      <c r="AH121" s="3416"/>
      <c r="AI121" s="1428"/>
      <c r="AJ121" s="2031">
        <f>ROUND(SUM(AD121-AG121),1)</f>
        <v>12181</v>
      </c>
      <c r="AK121" s="2383"/>
      <c r="AL121" s="1837">
        <f>ROUND(SUM(AJ121/ABS(AG121)),3)</f>
        <v>3.0590000000000002</v>
      </c>
    </row>
    <row r="122" spans="1:49" ht="15" customHeight="1">
      <c r="A122" s="2023"/>
      <c r="B122" s="2023"/>
      <c r="C122" s="2023"/>
      <c r="D122" s="2403"/>
      <c r="F122" s="2403"/>
      <c r="H122" s="2403"/>
      <c r="J122" s="2403"/>
      <c r="L122" s="2403"/>
      <c r="N122" s="2403"/>
      <c r="P122" s="2403"/>
      <c r="R122" s="2403"/>
      <c r="T122" s="2403"/>
      <c r="V122" s="2403"/>
      <c r="X122" s="2403"/>
      <c r="Z122" s="2403"/>
      <c r="AA122" s="2000"/>
      <c r="AC122" s="2494"/>
      <c r="AD122" s="2996"/>
      <c r="AF122" s="3389"/>
      <c r="AG122" s="2996"/>
      <c r="AH122" s="3412"/>
      <c r="AI122" s="2000"/>
      <c r="AJ122" s="1417"/>
      <c r="AL122" s="1416"/>
    </row>
    <row r="123" spans="1:49" ht="15" customHeight="1" thickBot="1">
      <c r="A123" s="2023"/>
      <c r="B123" s="2382" t="s">
        <v>1086</v>
      </c>
      <c r="C123" s="2023"/>
      <c r="D123" s="2410">
        <f>ROUND(SUM(D13+D121),1)</f>
        <v>13629.9</v>
      </c>
      <c r="F123" s="2410">
        <f>ROUND(SUM(F13+F121),1)</f>
        <v>26502.7</v>
      </c>
      <c r="H123" s="2410">
        <f>ROUND(SUM(H13+H121),1)</f>
        <v>27116</v>
      </c>
      <c r="J123" s="2410">
        <f>ROUND(SUM(J13+J121),1)</f>
        <v>27281</v>
      </c>
      <c r="L123" s="2410">
        <f>ROUND(SUM(L13+L121),1)</f>
        <v>26700</v>
      </c>
      <c r="N123" s="2410">
        <f>ROUND(SUM(N13+N121),1)</f>
        <v>25622.6</v>
      </c>
      <c r="P123" s="2410">
        <f>ROUND(SUM(P13+P121),1)</f>
        <v>26152.6</v>
      </c>
      <c r="R123" s="2410">
        <f>ROUND(SUM(R13+R121),1)</f>
        <v>25848.2</v>
      </c>
      <c r="T123" s="2410">
        <f>ROUND(SUM(T13+T121),1)</f>
        <v>27203.7</v>
      </c>
      <c r="V123" s="2410">
        <f>ROUND(SUM(V13+V121),1)</f>
        <v>26832.1</v>
      </c>
      <c r="X123" s="2410">
        <f>ROUND(SUM(X13+X121),1)</f>
        <v>0</v>
      </c>
      <c r="Z123" s="2410">
        <f>ROUND(SUM(Z13+Z121),1)</f>
        <v>0</v>
      </c>
      <c r="AA123" s="2410"/>
      <c r="AB123" s="2530">
        <f>ROUND(SUM(AB13+AB121),1)</f>
        <v>0</v>
      </c>
      <c r="AC123" s="2491"/>
      <c r="AD123" s="2008">
        <f>ROUND(SUM(AD13+AD121),1)</f>
        <v>26832.1</v>
      </c>
      <c r="AE123" s="2008"/>
      <c r="AF123" s="3388"/>
      <c r="AG123" s="2467">
        <f>ROUND(SUM(AG13+AG121),1)</f>
        <v>10293.9</v>
      </c>
      <c r="AH123" s="3411"/>
      <c r="AI123" s="1998"/>
      <c r="AJ123" s="2471">
        <f>ROUND(SUM(AD123-AG123),1)</f>
        <v>16538.2</v>
      </c>
      <c r="AK123" s="2470"/>
      <c r="AL123" s="2472">
        <f>ROUND(SUM(+AJ123/AG123),3)</f>
        <v>1.607</v>
      </c>
      <c r="AM123" s="2003"/>
      <c r="AN123" s="2003"/>
      <c r="AO123" s="2003"/>
      <c r="AP123" s="2003"/>
      <c r="AQ123" s="2003"/>
      <c r="AR123" s="2003"/>
      <c r="AS123" s="2003"/>
      <c r="AT123" s="2003"/>
      <c r="AU123" s="2003"/>
      <c r="AV123" s="2003"/>
      <c r="AW123" s="2003"/>
    </row>
    <row r="124" spans="1:49" ht="15" customHeight="1" thickTop="1">
      <c r="A124" s="2023"/>
      <c r="B124" s="2023"/>
      <c r="C124" s="2023"/>
      <c r="D124" s="2531"/>
      <c r="F124" s="2531"/>
      <c r="H124" s="2531"/>
      <c r="J124" s="2531"/>
      <c r="L124" s="2531"/>
      <c r="N124" s="2531"/>
      <c r="P124" s="2531"/>
      <c r="R124" s="2531"/>
      <c r="T124" s="2997"/>
      <c r="V124" s="2531"/>
      <c r="X124" s="2531"/>
      <c r="Z124" s="2531"/>
      <c r="AA124" s="2532"/>
      <c r="AB124" s="2003"/>
      <c r="AC124" s="2003"/>
      <c r="AD124" s="2997"/>
      <c r="AE124" s="2169"/>
      <c r="AF124" s="2169"/>
      <c r="AG124" s="2998"/>
      <c r="AH124" s="2998"/>
      <c r="AI124" s="2003"/>
      <c r="AJ124" s="2533"/>
      <c r="AK124" s="2003"/>
      <c r="AL124" s="1416"/>
      <c r="AM124" s="2003"/>
      <c r="AN124" s="2003"/>
      <c r="AO124" s="2003"/>
      <c r="AP124" s="2003"/>
      <c r="AQ124" s="2003"/>
      <c r="AR124" s="2003"/>
      <c r="AS124" s="2003"/>
      <c r="AT124" s="2003"/>
      <c r="AU124" s="2003"/>
      <c r="AV124" s="2003"/>
      <c r="AW124" s="2003"/>
    </row>
    <row r="125" spans="1:49" ht="15" customHeight="1">
      <c r="A125" s="2023"/>
      <c r="B125" s="2023"/>
      <c r="C125" s="2023"/>
      <c r="D125" s="2532"/>
      <c r="F125" s="2532"/>
      <c r="H125" s="2532"/>
      <c r="J125" s="2532"/>
      <c r="L125" s="2532"/>
      <c r="N125" s="2532"/>
      <c r="P125" s="2532"/>
      <c r="R125" s="2532"/>
      <c r="T125" s="2998"/>
      <c r="V125" s="2532"/>
      <c r="X125" s="2532"/>
      <c r="Z125" s="2532"/>
      <c r="AA125" s="2532"/>
      <c r="AB125" s="3695" t="s">
        <v>14</v>
      </c>
      <c r="AC125" s="2532"/>
      <c r="AD125" s="2998"/>
      <c r="AE125" s="2998"/>
      <c r="AF125" s="2998"/>
      <c r="AG125" s="2998"/>
      <c r="AH125" s="2998"/>
      <c r="AI125" s="2003"/>
      <c r="AJ125" s="2533"/>
      <c r="AK125" s="2003"/>
      <c r="AL125" s="1416"/>
      <c r="AM125" s="2003"/>
      <c r="AN125" s="2003"/>
      <c r="AO125" s="2003"/>
      <c r="AP125" s="2003"/>
      <c r="AQ125" s="2003"/>
      <c r="AR125" s="2003"/>
      <c r="AS125" s="2003"/>
      <c r="AT125" s="2003"/>
      <c r="AU125" s="2003"/>
      <c r="AV125" s="2003"/>
      <c r="AW125" s="2003"/>
    </row>
    <row r="126" spans="1:49" ht="15" customHeight="1">
      <c r="A126" s="2481"/>
      <c r="B126" s="1417" t="s">
        <v>1169</v>
      </c>
      <c r="D126" s="2003"/>
      <c r="F126" s="2003"/>
      <c r="H126" s="2003"/>
      <c r="J126" s="2003"/>
      <c r="L126" s="2003"/>
      <c r="N126" s="2003"/>
      <c r="P126" s="2003"/>
      <c r="R126" s="2003"/>
      <c r="T126" s="2169"/>
      <c r="V126" s="2003"/>
      <c r="X126" s="2003"/>
      <c r="Z126" s="2003"/>
      <c r="AA126" s="2003"/>
      <c r="AB126" s="2533" t="s">
        <v>14</v>
      </c>
      <c r="AC126" s="2003"/>
      <c r="AD126" s="2169"/>
      <c r="AE126" s="2169"/>
      <c r="AF126" s="2169"/>
      <c r="AG126" s="2169"/>
      <c r="AH126" s="2169"/>
      <c r="AI126" s="2003"/>
      <c r="AJ126" s="2533"/>
      <c r="AK126" s="2003"/>
      <c r="AL126" s="1416"/>
      <c r="AM126" s="2003"/>
      <c r="AN126" s="2003"/>
      <c r="AO126" s="2003"/>
      <c r="AP126" s="2003"/>
      <c r="AQ126" s="2003"/>
      <c r="AR126" s="2003"/>
      <c r="AS126" s="2003"/>
      <c r="AT126" s="2003"/>
      <c r="AU126" s="2003"/>
      <c r="AV126" s="2003"/>
      <c r="AW126" s="2003"/>
    </row>
    <row r="127" spans="1:49" ht="15" customHeight="1">
      <c r="B127" s="2707" t="s">
        <v>1561</v>
      </c>
      <c r="D127" s="2003"/>
      <c r="F127" s="2003"/>
      <c r="H127" s="2003"/>
      <c r="J127" s="2003"/>
      <c r="L127" s="2003"/>
      <c r="N127" s="2003"/>
      <c r="P127" s="2003"/>
      <c r="R127" s="2003"/>
      <c r="T127" s="2169"/>
      <c r="V127" s="2003"/>
      <c r="X127" s="2003"/>
      <c r="Z127" s="2003"/>
      <c r="AA127" s="2003"/>
      <c r="AB127" s="2003"/>
      <c r="AC127" s="2003"/>
      <c r="AD127" s="2169"/>
      <c r="AE127" s="2169"/>
      <c r="AF127" s="2169"/>
      <c r="AG127" s="2169"/>
      <c r="AH127" s="2169"/>
      <c r="AI127" s="2003"/>
      <c r="AJ127" s="2533"/>
      <c r="AK127" s="2003"/>
      <c r="AL127" s="1416"/>
      <c r="AM127" s="2003"/>
      <c r="AN127" s="2003"/>
      <c r="AO127" s="2003"/>
      <c r="AP127" s="2003"/>
      <c r="AQ127" s="2003"/>
      <c r="AR127" s="2003"/>
      <c r="AS127" s="2003"/>
      <c r="AT127" s="2003"/>
      <c r="AU127" s="2003"/>
      <c r="AV127" s="2003"/>
      <c r="AW127" s="2003"/>
    </row>
    <row r="128" spans="1:49" ht="15" customHeight="1">
      <c r="AJ128" s="1417"/>
      <c r="AL128" s="1416"/>
    </row>
    <row r="129" spans="36:38" ht="15" customHeight="1">
      <c r="AJ129" s="1417"/>
      <c r="AL129" s="1416"/>
    </row>
    <row r="130" spans="36:38" ht="15" customHeight="1">
      <c r="AJ130" s="1417"/>
      <c r="AL130" s="1416"/>
    </row>
    <row r="131" spans="36:38" ht="15" customHeight="1">
      <c r="AJ131" s="1417"/>
      <c r="AL131" s="1416"/>
    </row>
    <row r="132" spans="36:38" ht="15" customHeight="1">
      <c r="AJ132" s="1417"/>
      <c r="AL132" s="1416"/>
    </row>
    <row r="133" spans="36:38" ht="15" customHeight="1">
      <c r="AJ133" s="1417"/>
      <c r="AL133" s="1416"/>
    </row>
    <row r="134" spans="36:38" ht="15" customHeight="1">
      <c r="AJ134" s="1417"/>
      <c r="AL134" s="1416"/>
    </row>
    <row r="135" spans="36:38" ht="15" customHeight="1">
      <c r="AJ135" s="1417"/>
      <c r="AL135" s="1416"/>
    </row>
    <row r="136" spans="36:38" ht="15" customHeight="1">
      <c r="AJ136" s="1417"/>
      <c r="AL136" s="1416"/>
    </row>
    <row r="137" spans="36:38" ht="15" customHeight="1">
      <c r="AJ137" s="1417"/>
      <c r="AL137" s="1416"/>
    </row>
    <row r="138" spans="36:38" ht="15" customHeight="1">
      <c r="AJ138" s="1417"/>
      <c r="AL138" s="1416"/>
    </row>
    <row r="139" spans="36:38" ht="15" customHeight="1">
      <c r="AJ139" s="1417"/>
      <c r="AL139" s="1416"/>
    </row>
    <row r="140" spans="36:38" ht="15" customHeight="1">
      <c r="AJ140" s="1417"/>
      <c r="AL140" s="1416"/>
    </row>
    <row r="141" spans="36:38" ht="15" customHeight="1">
      <c r="AJ141" s="1417"/>
      <c r="AL141" s="1416"/>
    </row>
    <row r="142" spans="36:38" ht="15" customHeight="1">
      <c r="AJ142" s="1417"/>
      <c r="AL142" s="1416"/>
    </row>
    <row r="143" spans="36:38" ht="15" customHeight="1">
      <c r="AJ143" s="1417"/>
      <c r="AL143" s="1416"/>
    </row>
    <row r="144" spans="36:38" ht="15" customHeight="1">
      <c r="AJ144" s="1417"/>
      <c r="AL144" s="1416"/>
    </row>
    <row r="145" spans="36:38" ht="15" customHeight="1">
      <c r="AJ145" s="1417"/>
      <c r="AL145" s="1416"/>
    </row>
    <row r="146" spans="36:38" ht="15" customHeight="1">
      <c r="AJ146" s="1417"/>
      <c r="AL146" s="1416"/>
    </row>
    <row r="147" spans="36:38" ht="15" customHeight="1">
      <c r="AJ147" s="1417"/>
      <c r="AL147" s="1416"/>
    </row>
    <row r="148" spans="36:38" ht="15" customHeight="1">
      <c r="AJ148" s="1417"/>
      <c r="AL148" s="1416"/>
    </row>
    <row r="149" spans="36:38" ht="15" customHeight="1">
      <c r="AJ149" s="1417"/>
      <c r="AL149" s="1416"/>
    </row>
    <row r="150" spans="36:38" ht="15" customHeight="1">
      <c r="AJ150" s="1417"/>
      <c r="AL150" s="1416"/>
    </row>
    <row r="151" spans="36:38" ht="15" customHeight="1">
      <c r="AJ151" s="1417"/>
      <c r="AL151" s="1416"/>
    </row>
    <row r="152" spans="36:38" ht="15" customHeight="1">
      <c r="AJ152" s="1417"/>
      <c r="AL152" s="1416"/>
    </row>
    <row r="153" spans="36:38" ht="15" customHeight="1">
      <c r="AJ153" s="1417"/>
      <c r="AL153" s="1416"/>
    </row>
    <row r="154" spans="36:38" ht="15" customHeight="1">
      <c r="AJ154" s="1417"/>
      <c r="AL154" s="1416"/>
    </row>
    <row r="155" spans="36:38" ht="15" customHeight="1">
      <c r="AJ155" s="1417"/>
      <c r="AL155" s="1416"/>
    </row>
    <row r="156" spans="36:38" ht="15" customHeight="1">
      <c r="AJ156" s="1417"/>
      <c r="AL156" s="1416"/>
    </row>
    <row r="157" spans="36:38" ht="15" customHeight="1">
      <c r="AJ157" s="1417"/>
      <c r="AL157" s="1416"/>
    </row>
    <row r="158" spans="36:38" ht="15" customHeight="1">
      <c r="AJ158" s="1417"/>
      <c r="AL158" s="1416"/>
    </row>
    <row r="159" spans="36:38" ht="15" customHeight="1">
      <c r="AJ159" s="1417"/>
      <c r="AL159" s="1416"/>
    </row>
    <row r="160" spans="36:38" ht="15" customHeight="1">
      <c r="AJ160" s="1417"/>
      <c r="AL160" s="1416"/>
    </row>
    <row r="161" spans="36:38" ht="15" customHeight="1">
      <c r="AJ161" s="1417"/>
      <c r="AL161" s="1416"/>
    </row>
    <row r="162" spans="36:38" ht="15" customHeight="1">
      <c r="AJ162" s="1417"/>
      <c r="AL162" s="1416"/>
    </row>
    <row r="163" spans="36:38" ht="15" customHeight="1">
      <c r="AJ163" s="1417"/>
      <c r="AL163" s="1416"/>
    </row>
    <row r="164" spans="36:38" ht="15" customHeight="1">
      <c r="AJ164" s="1417"/>
      <c r="AL164" s="1416"/>
    </row>
    <row r="165" spans="36:38" ht="15" customHeight="1">
      <c r="AJ165" s="1417"/>
      <c r="AL165" s="1416"/>
    </row>
    <row r="166" spans="36:38" ht="15" customHeight="1">
      <c r="AJ166" s="1417"/>
      <c r="AL166" s="1416"/>
    </row>
    <row r="167" spans="36:38" ht="15" customHeight="1">
      <c r="AJ167" s="1417"/>
      <c r="AL167" s="1416"/>
    </row>
    <row r="168" spans="36:38" ht="15" customHeight="1">
      <c r="AJ168" s="1417"/>
      <c r="AL168" s="1416"/>
    </row>
    <row r="169" spans="36:38" ht="15" customHeight="1">
      <c r="AJ169" s="1417"/>
      <c r="AL169" s="1416"/>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5:AL76 AL72 AL74 AL57 AL22" formula="1" unlockedFormula="1"/>
    <ignoredError sqref="AJ23:AL23 AL51 AL70 AL90 AJ71:AL71 AJ74:AK74 AJ73:AL73 AJ72:AK72 AL6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80" workbookViewId="0"/>
  </sheetViews>
  <sheetFormatPr defaultColWidth="8.81640625" defaultRowHeight="13.2"/>
  <cols>
    <col min="1" max="1" width="1.81640625" style="244" customWidth="1"/>
    <col min="2" max="2" width="40.81640625" style="244" customWidth="1"/>
    <col min="3" max="3" width="1.81640625" style="244" customWidth="1"/>
    <col min="4" max="4" width="12.08984375" style="244" customWidth="1"/>
    <col min="5" max="5" width="1.81640625" style="244" customWidth="1"/>
    <col min="6" max="6" width="12" style="244" customWidth="1"/>
    <col min="7" max="7" width="1.81640625" style="244" customWidth="1"/>
    <col min="8" max="8" width="13.08984375" style="244" customWidth="1"/>
    <col min="9" max="9" width="1.81640625" style="244" customWidth="1"/>
    <col min="10" max="10" width="13.08984375" style="244" customWidth="1"/>
    <col min="11" max="11" width="1.81640625" style="244" customWidth="1"/>
    <col min="12" max="12" width="13.08984375" style="244" customWidth="1"/>
    <col min="13" max="13" width="1.81640625" style="244" customWidth="1"/>
    <col min="14" max="14" width="14" style="244" customWidth="1"/>
    <col min="15" max="15" width="1.81640625" style="244" customWidth="1"/>
    <col min="16" max="16" width="11.81640625" style="244" customWidth="1"/>
    <col min="17" max="17" width="1.81640625" style="244" customWidth="1"/>
    <col min="18" max="18" width="11.54296875" style="244" customWidth="1"/>
    <col min="19" max="19" width="1.81640625" style="244" customWidth="1"/>
    <col min="20" max="20" width="12.08984375" style="244" customWidth="1"/>
    <col min="21" max="21" width="1.81640625" style="244" customWidth="1"/>
    <col min="22" max="22" width="13" style="244" customWidth="1"/>
    <col min="23" max="23" width="1.81640625" style="244" customWidth="1"/>
    <col min="24" max="24" width="12.08984375" style="244" customWidth="1"/>
    <col min="25" max="25" width="1.81640625" style="244" customWidth="1"/>
    <col min="26" max="26" width="10.81640625" style="244" bestFit="1" customWidth="1"/>
    <col min="27" max="27" width="1.08984375" style="244" customWidth="1"/>
    <col min="28" max="29" width="1.81640625" style="244" customWidth="1"/>
    <col min="30" max="30" width="15.81640625" style="875" customWidth="1"/>
    <col min="31" max="32" width="1.453125" style="875" customWidth="1"/>
    <col min="33" max="33" width="12.81640625" style="875" bestFit="1" customWidth="1"/>
    <col min="34" max="34" width="1.54296875" style="244" customWidth="1"/>
    <col min="35" max="35" width="0.81640625" style="244" customWidth="1"/>
    <col min="36" max="36" width="14.81640625" style="244" customWidth="1"/>
    <col min="37" max="37" width="0.81640625" style="244" customWidth="1"/>
    <col min="38" max="38" width="12.08984375" style="244" customWidth="1"/>
    <col min="39" max="16384" width="8.81640625" style="244"/>
  </cols>
  <sheetData>
    <row r="1" spans="1:40" ht="15">
      <c r="B1" s="635" t="s">
        <v>881</v>
      </c>
    </row>
    <row r="2" spans="1:40" ht="15.6">
      <c r="A2" s="243"/>
      <c r="M2" s="26"/>
      <c r="N2" s="26"/>
      <c r="O2" s="262"/>
    </row>
    <row r="3" spans="1:40" ht="20.25" customHeight="1">
      <c r="A3" s="243"/>
      <c r="B3" s="246" t="s">
        <v>0</v>
      </c>
      <c r="M3" s="26"/>
      <c r="N3" s="26"/>
      <c r="O3" s="262"/>
      <c r="AF3" s="3386"/>
      <c r="AG3" s="3387"/>
      <c r="AH3" s="285"/>
      <c r="AI3" s="285"/>
      <c r="AJ3" s="285"/>
      <c r="AK3" s="285"/>
      <c r="AL3" s="387" t="s">
        <v>167</v>
      </c>
    </row>
    <row r="4" spans="1:40" ht="17.399999999999999">
      <c r="A4" s="243"/>
      <c r="B4" s="246" t="s">
        <v>174</v>
      </c>
      <c r="L4" s="26"/>
      <c r="M4" s="26"/>
      <c r="O4" s="262"/>
    </row>
    <row r="5" spans="1:40" ht="17.399999999999999">
      <c r="A5" s="243"/>
      <c r="B5" s="317" t="s">
        <v>147</v>
      </c>
      <c r="L5" s="262"/>
      <c r="M5" s="262"/>
      <c r="O5" s="262"/>
      <c r="X5" s="286"/>
    </row>
    <row r="6" spans="1:40" ht="21">
      <c r="A6" s="243"/>
      <c r="B6" s="1514" t="str">
        <f>'Cashflow Governmental'!A6</f>
        <v xml:space="preserve">FISCAL YEAR 2021-2022   </v>
      </c>
      <c r="L6" s="262"/>
      <c r="M6" s="262"/>
      <c r="O6" s="262"/>
      <c r="AL6" s="266"/>
    </row>
    <row r="7" spans="1:40" ht="17.399999999999999">
      <c r="A7" s="243"/>
      <c r="B7" s="246" t="s">
        <v>1266</v>
      </c>
      <c r="AI7" s="147"/>
      <c r="AJ7" s="147"/>
      <c r="AK7" s="147"/>
      <c r="AL7" s="147"/>
    </row>
    <row r="8" spans="1:40" ht="13.5" customHeight="1">
      <c r="A8" s="243"/>
      <c r="D8" s="2119"/>
      <c r="L8" s="262"/>
      <c r="M8" s="262"/>
      <c r="N8" s="262"/>
      <c r="O8" s="262"/>
      <c r="AC8" s="147"/>
      <c r="AD8" s="3101"/>
      <c r="AE8" s="3101"/>
      <c r="AF8" s="1058"/>
      <c r="AG8" s="1058"/>
      <c r="AH8" s="147"/>
      <c r="AI8" s="262"/>
      <c r="AJ8" s="262"/>
      <c r="AK8" s="262"/>
      <c r="AL8" s="262"/>
    </row>
    <row r="9" spans="1:40" ht="20.25" customHeight="1">
      <c r="A9" s="243"/>
      <c r="M9" s="262"/>
      <c r="N9" s="262"/>
      <c r="O9" s="262"/>
      <c r="AC9" s="3976" t="str">
        <f>'Exhibit G'!AC9:AL9</f>
        <v>10 Months Ended January 31</v>
      </c>
      <c r="AD9" s="3976"/>
      <c r="AE9" s="3976"/>
      <c r="AF9" s="3976"/>
      <c r="AG9" s="3976"/>
      <c r="AH9" s="3976"/>
      <c r="AI9" s="3976"/>
      <c r="AJ9" s="3976"/>
      <c r="AK9" s="3976"/>
      <c r="AL9" s="3976"/>
    </row>
    <row r="10" spans="1:40" ht="15.6">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02"/>
      <c r="AE10" s="3102"/>
      <c r="AF10" s="3102"/>
      <c r="AG10" s="3102"/>
      <c r="AH10" s="207"/>
      <c r="AI10" s="206"/>
      <c r="AJ10" s="739" t="s">
        <v>7</v>
      </c>
      <c r="AK10" s="739"/>
      <c r="AL10" s="739" t="s">
        <v>8</v>
      </c>
      <c r="AM10" s="742"/>
      <c r="AN10" s="742"/>
    </row>
    <row r="11" spans="1:40" ht="15.6">
      <c r="A11" s="243"/>
      <c r="B11" s="27"/>
      <c r="C11" s="27"/>
      <c r="D11" s="1045" t="s">
        <v>123</v>
      </c>
      <c r="E11" s="26"/>
      <c r="F11" s="1045" t="s">
        <v>124</v>
      </c>
      <c r="G11" s="26"/>
      <c r="H11" s="1045" t="s">
        <v>125</v>
      </c>
      <c r="I11" s="26"/>
      <c r="J11" s="1045" t="s">
        <v>126</v>
      </c>
      <c r="K11" s="26"/>
      <c r="L11" s="1045" t="s">
        <v>127</v>
      </c>
      <c r="M11" s="26"/>
      <c r="N11" s="1045" t="s">
        <v>142</v>
      </c>
      <c r="O11" s="26"/>
      <c r="P11" s="1045" t="s">
        <v>143</v>
      </c>
      <c r="Q11" s="26"/>
      <c r="R11" s="1045" t="s">
        <v>130</v>
      </c>
      <c r="S11" s="26"/>
      <c r="T11" s="1045" t="s">
        <v>131</v>
      </c>
      <c r="U11" s="26"/>
      <c r="V11" s="1045" t="s">
        <v>132</v>
      </c>
      <c r="W11" s="26"/>
      <c r="X11" s="1045" t="s">
        <v>133</v>
      </c>
      <c r="Y11" s="26"/>
      <c r="Z11" s="1045" t="s">
        <v>184</v>
      </c>
      <c r="AA11" s="743"/>
      <c r="AB11" s="26"/>
      <c r="AC11" s="26"/>
      <c r="AD11" s="3103">
        <f>'Cashflow Governmental'!AB14</f>
        <v>2022</v>
      </c>
      <c r="AE11" s="730"/>
      <c r="AF11" s="729" t="s">
        <v>14</v>
      </c>
      <c r="AG11" s="3103">
        <f>'Cashflow Governmental'!AE14</f>
        <v>2021</v>
      </c>
      <c r="AH11" s="725"/>
      <c r="AI11" s="206"/>
      <c r="AJ11" s="1051" t="s">
        <v>11</v>
      </c>
      <c r="AK11" s="738"/>
      <c r="AL11" s="1051" t="s">
        <v>12</v>
      </c>
      <c r="AM11" s="742"/>
      <c r="AN11" s="742" t="s">
        <v>14</v>
      </c>
    </row>
    <row r="12" spans="1:40" ht="5.25" customHeight="1">
      <c r="A12" s="243"/>
      <c r="B12" s="27"/>
      <c r="C12" s="27"/>
      <c r="D12" s="743"/>
      <c r="E12" s="26"/>
      <c r="F12" s="743"/>
      <c r="G12" s="26"/>
      <c r="H12" s="743"/>
      <c r="I12" s="26"/>
      <c r="J12" s="743"/>
      <c r="K12" s="26"/>
      <c r="L12" s="743"/>
      <c r="M12" s="26"/>
      <c r="N12" s="743"/>
      <c r="O12" s="26"/>
      <c r="P12" s="743"/>
      <c r="Q12" s="26"/>
      <c r="R12" s="743"/>
      <c r="S12" s="26"/>
      <c r="T12" s="743"/>
      <c r="U12" s="26"/>
      <c r="V12" s="743"/>
      <c r="W12" s="26"/>
      <c r="X12" s="743"/>
      <c r="Y12" s="26"/>
      <c r="Z12" s="743"/>
      <c r="AA12" s="743"/>
      <c r="AB12" s="26"/>
      <c r="AC12" s="26"/>
      <c r="AD12" s="3104"/>
      <c r="AE12" s="730"/>
      <c r="AF12" s="729"/>
      <c r="AG12" s="3104"/>
      <c r="AH12" s="725"/>
      <c r="AI12" s="206"/>
      <c r="AJ12" s="738"/>
      <c r="AK12" s="738"/>
      <c r="AL12" s="738"/>
      <c r="AM12" s="742"/>
      <c r="AN12" s="742"/>
    </row>
    <row r="13" spans="1:40" s="1050" customFormat="1" ht="15.6">
      <c r="A13" s="1048"/>
      <c r="B13" s="1830" t="s">
        <v>1160</v>
      </c>
      <c r="C13" s="34"/>
      <c r="D13" s="303">
        <v>5708.6</v>
      </c>
      <c r="E13" s="251"/>
      <c r="F13" s="1833">
        <f>D121</f>
        <v>6329.3</v>
      </c>
      <c r="G13" s="251"/>
      <c r="H13" s="1833">
        <f>F121</f>
        <v>6294.9</v>
      </c>
      <c r="I13" s="251"/>
      <c r="J13" s="1833">
        <f>H121</f>
        <v>7392.8</v>
      </c>
      <c r="K13" s="251"/>
      <c r="L13" s="1833">
        <f>J121</f>
        <v>8049.4</v>
      </c>
      <c r="M13" s="251"/>
      <c r="N13" s="1833">
        <f>L121</f>
        <v>8108.3</v>
      </c>
      <c r="O13" s="251"/>
      <c r="P13" s="1833">
        <f>N121</f>
        <v>6498.4</v>
      </c>
      <c r="Q13" s="251"/>
      <c r="R13" s="1833">
        <f>P121</f>
        <v>6808.5</v>
      </c>
      <c r="S13" s="251"/>
      <c r="T13" s="1833">
        <f>R121</f>
        <v>6491.9</v>
      </c>
      <c r="U13" s="251"/>
      <c r="V13" s="1833">
        <f>T121</f>
        <v>6625.6</v>
      </c>
      <c r="W13" s="251"/>
      <c r="X13" s="1833"/>
      <c r="Y13" s="251"/>
      <c r="Z13" s="1833"/>
      <c r="AA13" s="743"/>
      <c r="AB13" s="251"/>
      <c r="AC13" s="2117"/>
      <c r="AD13" s="3105">
        <f>D13</f>
        <v>5708.6</v>
      </c>
      <c r="AE13" s="3104"/>
      <c r="AF13" s="3108"/>
      <c r="AG13" s="136">
        <v>5400.7000000000007</v>
      </c>
      <c r="AH13" s="725"/>
      <c r="AI13" s="268"/>
      <c r="AJ13" s="1831">
        <f>ROUND(SUM(+AD13-AG13),1)</f>
        <v>307.89999999999998</v>
      </c>
      <c r="AK13" s="109"/>
      <c r="AL13" s="1834">
        <f>ROUND(IF(AG13=0,1,AJ13/ABS(AG13)),3)</f>
        <v>5.7000000000000002E-2</v>
      </c>
      <c r="AM13" s="1049"/>
      <c r="AN13" s="1049" t="s">
        <v>14</v>
      </c>
    </row>
    <row r="14" spans="1:40" s="1050" customFormat="1" ht="15.6">
      <c r="A14" s="1048"/>
      <c r="B14" s="1830"/>
      <c r="C14" s="34"/>
      <c r="D14" s="743"/>
      <c r="E14" s="251"/>
      <c r="F14" s="743"/>
      <c r="G14" s="251"/>
      <c r="H14" s="743"/>
      <c r="I14" s="251"/>
      <c r="J14" s="743"/>
      <c r="K14" s="251"/>
      <c r="L14" s="743"/>
      <c r="M14" s="251"/>
      <c r="N14" s="743"/>
      <c r="O14" s="251"/>
      <c r="P14" s="743"/>
      <c r="Q14" s="251"/>
      <c r="R14" s="743"/>
      <c r="S14" s="251"/>
      <c r="T14" s="743"/>
      <c r="U14" s="251"/>
      <c r="V14" s="743"/>
      <c r="W14" s="251"/>
      <c r="X14" s="743"/>
      <c r="Y14" s="251"/>
      <c r="Z14" s="743"/>
      <c r="AA14" s="743"/>
      <c r="AB14" s="251"/>
      <c r="AC14" s="2117"/>
      <c r="AD14" s="3104"/>
      <c r="AE14" s="3104"/>
      <c r="AF14" s="3108"/>
      <c r="AG14" s="3104"/>
      <c r="AH14" s="725"/>
      <c r="AI14" s="268"/>
      <c r="AJ14" s="738"/>
      <c r="AK14" s="738"/>
      <c r="AL14" s="738"/>
      <c r="AM14" s="1049"/>
      <c r="AN14" s="1049"/>
    </row>
    <row r="15" spans="1:40"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47"/>
      <c r="AD15" s="1077"/>
      <c r="AE15" s="103"/>
      <c r="AF15" s="3109"/>
      <c r="AG15" s="103"/>
      <c r="AH15" s="34"/>
      <c r="AI15" s="268"/>
      <c r="AJ15" s="27"/>
      <c r="AK15" s="27"/>
      <c r="AL15" s="27"/>
    </row>
    <row r="16" spans="1:40" ht="15" customHeight="1">
      <c r="A16" s="147"/>
      <c r="B16" s="258" t="s">
        <v>991</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8"/>
      <c r="AD16" s="1077"/>
      <c r="AE16" s="103"/>
      <c r="AF16" s="3110"/>
      <c r="AG16" s="103"/>
      <c r="AH16" s="271"/>
      <c r="AI16" s="34"/>
      <c r="AJ16" s="27"/>
      <c r="AK16" s="27"/>
      <c r="AL16" s="27"/>
    </row>
    <row r="17" spans="1:38" s="1806" customFormat="1" ht="15" customHeight="1">
      <c r="A17" s="1803"/>
      <c r="B17" s="1188" t="s">
        <v>994</v>
      </c>
      <c r="C17" s="102"/>
      <c r="D17" s="884">
        <v>0</v>
      </c>
      <c r="E17" s="1511"/>
      <c r="F17" s="3822">
        <v>0</v>
      </c>
      <c r="G17" s="1511"/>
      <c r="H17" s="3822">
        <v>0</v>
      </c>
      <c r="I17" s="1511"/>
      <c r="J17" s="3822">
        <v>0</v>
      </c>
      <c r="K17" s="1517"/>
      <c r="L17" s="3822">
        <v>0</v>
      </c>
      <c r="M17" s="1775"/>
      <c r="N17" s="3822">
        <v>0</v>
      </c>
      <c r="O17" s="1775"/>
      <c r="P17" s="3822">
        <v>1.2</v>
      </c>
      <c r="Q17" s="1966"/>
      <c r="R17" s="3822">
        <v>0.8</v>
      </c>
      <c r="S17" s="1966"/>
      <c r="T17" s="3822">
        <v>14.100000000000001</v>
      </c>
      <c r="U17" s="1966"/>
      <c r="V17" s="3822">
        <f>$AD17-$D17-$F17-$H17-$J17-$L17-$N17-$P17-$R17-$T17</f>
        <v>1850</v>
      </c>
      <c r="W17" s="1966"/>
      <c r="X17" s="1768"/>
      <c r="Y17" s="1966"/>
      <c r="Z17" s="1768"/>
      <c r="AA17" s="1967"/>
      <c r="AB17" s="2005"/>
      <c r="AC17" s="2006"/>
      <c r="AD17" s="1768">
        <v>1866.1</v>
      </c>
      <c r="AE17" s="2007"/>
      <c r="AF17" s="3111"/>
      <c r="AG17" s="1768">
        <v>2008.6</v>
      </c>
      <c r="AH17" s="1804"/>
      <c r="AI17" s="1003"/>
      <c r="AJ17" s="883">
        <f>ROUND(SUM(+AD17-AG17),1)</f>
        <v>-142.5</v>
      </c>
      <c r="AK17" s="883"/>
      <c r="AL17" s="1797">
        <f>ROUND(IF(AG17=0,0,AJ17/ABS(AG17)),3)</f>
        <v>-7.0999999999999994E-2</v>
      </c>
    </row>
    <row r="18" spans="1:38" s="1806" customFormat="1" ht="6" customHeight="1">
      <c r="A18" s="1803"/>
      <c r="B18" s="1188"/>
      <c r="C18" s="102"/>
      <c r="D18" s="884" t="s">
        <v>14</v>
      </c>
      <c r="E18" s="91"/>
      <c r="F18" s="884"/>
      <c r="G18" s="91"/>
      <c r="H18" s="884"/>
      <c r="I18" s="91"/>
      <c r="J18" s="884"/>
      <c r="K18" s="132"/>
      <c r="L18" s="884"/>
      <c r="M18" s="132"/>
      <c r="N18" s="884"/>
      <c r="O18" s="132"/>
      <c r="P18" s="1768"/>
      <c r="Q18" s="2008"/>
      <c r="R18" s="3822"/>
      <c r="S18" s="2008"/>
      <c r="T18" s="1768"/>
      <c r="U18" s="2008"/>
      <c r="V18" s="1768"/>
      <c r="W18" s="2008"/>
      <c r="X18" s="1768"/>
      <c r="Y18" s="2008"/>
      <c r="Z18" s="1768"/>
      <c r="AA18" s="2009"/>
      <c r="AB18" s="2008"/>
      <c r="AC18" s="2010"/>
      <c r="AD18" s="2008"/>
      <c r="AE18" s="2007"/>
      <c r="AF18" s="3112"/>
      <c r="AG18" s="2008"/>
      <c r="AH18" s="1804"/>
      <c r="AI18" s="1003"/>
      <c r="AJ18" s="132"/>
      <c r="AK18" s="109"/>
      <c r="AL18" s="1805"/>
    </row>
    <row r="19" spans="1:38" s="875" customFormat="1" ht="15" customHeight="1">
      <c r="A19" s="1058"/>
      <c r="B19" s="1188" t="s">
        <v>1050</v>
      </c>
      <c r="C19" s="104"/>
      <c r="D19" s="884" t="s">
        <v>14</v>
      </c>
      <c r="E19" s="1511"/>
      <c r="F19" s="884"/>
      <c r="G19" s="1511"/>
      <c r="H19" s="884"/>
      <c r="I19" s="1511"/>
      <c r="J19" s="884"/>
      <c r="K19" s="115"/>
      <c r="L19" s="884"/>
      <c r="M19" s="115"/>
      <c r="N19" s="884"/>
      <c r="O19" s="115"/>
      <c r="P19" s="1768"/>
      <c r="Q19" s="1974"/>
      <c r="R19" s="3822"/>
      <c r="S19" s="1974"/>
      <c r="T19" s="1768"/>
      <c r="U19" s="1974"/>
      <c r="V19" s="1768"/>
      <c r="W19" s="1974"/>
      <c r="X19" s="1768"/>
      <c r="Y19" s="1974"/>
      <c r="Z19" s="1768"/>
      <c r="AA19" s="1974"/>
      <c r="AB19" s="1974"/>
      <c r="AC19" s="1976"/>
      <c r="AD19" s="1974"/>
      <c r="AE19" s="1974"/>
      <c r="AF19" s="3113"/>
      <c r="AG19" s="1974"/>
      <c r="AH19" s="1061"/>
      <c r="AI19" s="64"/>
      <c r="AJ19" s="883"/>
      <c r="AK19" s="876"/>
      <c r="AL19" s="1807"/>
    </row>
    <row r="20" spans="1:38" s="875" customFormat="1" ht="15" customHeight="1">
      <c r="A20" s="1058"/>
      <c r="B20" s="1065" t="s">
        <v>1006</v>
      </c>
      <c r="C20" s="104"/>
      <c r="D20" s="884">
        <v>109.2</v>
      </c>
      <c r="E20" s="1818"/>
      <c r="F20" s="884">
        <v>80.499999999999986</v>
      </c>
      <c r="G20" s="1818"/>
      <c r="H20" s="884">
        <v>101.60000000000004</v>
      </c>
      <c r="I20" s="1818"/>
      <c r="J20" s="3822">
        <v>86.899999999999963</v>
      </c>
      <c r="K20" s="1517"/>
      <c r="L20" s="3822">
        <v>83.300000000000026</v>
      </c>
      <c r="M20" s="1517"/>
      <c r="N20" s="3822">
        <v>108.99999999999999</v>
      </c>
      <c r="O20" s="1517"/>
      <c r="P20" s="3822">
        <v>86.299999999999912</v>
      </c>
      <c r="Q20" s="1977"/>
      <c r="R20" s="3822">
        <v>89.600000000000009</v>
      </c>
      <c r="S20" s="1977"/>
      <c r="T20" s="3822">
        <v>111.60000000000004</v>
      </c>
      <c r="U20" s="1977"/>
      <c r="V20" s="3822">
        <f>$AD20-$D20-$F20-$H20-$J20-$L20-$N20-$P20-$R20-$T20</f>
        <v>96.999999999999986</v>
      </c>
      <c r="W20" s="1977"/>
      <c r="X20" s="1768"/>
      <c r="Y20" s="1977"/>
      <c r="Z20" s="1768"/>
      <c r="AA20" s="1978"/>
      <c r="AB20" s="1979"/>
      <c r="AC20" s="1981"/>
      <c r="AD20" s="1768">
        <v>955</v>
      </c>
      <c r="AE20" s="2011"/>
      <c r="AF20" s="3114"/>
      <c r="AG20" s="1768">
        <v>753.2</v>
      </c>
      <c r="AH20" s="1061"/>
      <c r="AI20" s="64"/>
      <c r="AJ20" s="883">
        <f t="shared" ref="AJ20:AJ27" si="0">ROUND(SUM(+AD20-AG20),1)</f>
        <v>201.8</v>
      </c>
      <c r="AK20" s="876"/>
      <c r="AL20" s="1801">
        <f t="shared" ref="AL20:AL28" si="1">ROUND(IF(AG20=0,0,AJ20/ABS(AG20)),3)</f>
        <v>0.26800000000000002</v>
      </c>
    </row>
    <row r="21" spans="1:38" s="875" customFormat="1" ht="15" customHeight="1">
      <c r="A21" s="1058"/>
      <c r="B21" s="1065" t="s">
        <v>1007</v>
      </c>
      <c r="C21" s="104"/>
      <c r="D21" s="884">
        <v>-0.2</v>
      </c>
      <c r="E21" s="1818"/>
      <c r="F21" s="884">
        <v>0</v>
      </c>
      <c r="G21" s="1818"/>
      <c r="H21" s="884">
        <v>5.1000000000000005</v>
      </c>
      <c r="I21" s="1818"/>
      <c r="J21" s="3822">
        <v>0</v>
      </c>
      <c r="K21" s="1517"/>
      <c r="L21" s="3822">
        <v>0</v>
      </c>
      <c r="M21" s="1517"/>
      <c r="N21" s="3822">
        <v>7.6999999999999984</v>
      </c>
      <c r="O21" s="1517"/>
      <c r="P21" s="3822">
        <v>0</v>
      </c>
      <c r="Q21" s="1977"/>
      <c r="R21" s="3822">
        <v>-9.9999999999999645E-2</v>
      </c>
      <c r="S21" s="1977"/>
      <c r="T21" s="3822">
        <v>6.1999999999999984</v>
      </c>
      <c r="U21" s="1977"/>
      <c r="V21" s="3822">
        <f t="shared" ref="V21:V26" si="2">$AD21-$D21-$F21-$H21-$J21-$L21-$N21-$P21-$R21-$T21</f>
        <v>0</v>
      </c>
      <c r="W21" s="1977"/>
      <c r="X21" s="1768"/>
      <c r="Y21" s="1977"/>
      <c r="Z21" s="1768"/>
      <c r="AA21" s="1978"/>
      <c r="AB21" s="1979"/>
      <c r="AC21" s="1981"/>
      <c r="AD21" s="1768">
        <v>18.7</v>
      </c>
      <c r="AE21" s="2011"/>
      <c r="AF21" s="3114"/>
      <c r="AG21" s="1768">
        <v>8.6999999999999993</v>
      </c>
      <c r="AH21" s="1061"/>
      <c r="AI21" s="64"/>
      <c r="AJ21" s="883">
        <f t="shared" si="0"/>
        <v>10</v>
      </c>
      <c r="AK21" s="876"/>
      <c r="AL21" s="1797">
        <f>ROUND(IF(AG21=0,1,AJ21/ABS(AG21)),3)</f>
        <v>1.149</v>
      </c>
    </row>
    <row r="22" spans="1:38" s="875" customFormat="1" ht="15" customHeight="1">
      <c r="A22" s="1058"/>
      <c r="B22" s="1065" t="s">
        <v>1008</v>
      </c>
      <c r="C22" s="104"/>
      <c r="D22" s="884">
        <v>69.7</v>
      </c>
      <c r="E22" s="1818"/>
      <c r="F22" s="884">
        <v>51.8</v>
      </c>
      <c r="G22" s="1818"/>
      <c r="H22" s="884">
        <v>64.900000000000006</v>
      </c>
      <c r="I22" s="1818"/>
      <c r="J22" s="3822">
        <v>59.8</v>
      </c>
      <c r="K22" s="1517"/>
      <c r="L22" s="3822">
        <v>62.3</v>
      </c>
      <c r="M22" s="1517"/>
      <c r="N22" s="3822">
        <v>56.100000000000023</v>
      </c>
      <c r="O22" s="1517"/>
      <c r="P22" s="3822">
        <v>60.7</v>
      </c>
      <c r="Q22" s="1977"/>
      <c r="R22" s="3822">
        <v>55.099999999999952</v>
      </c>
      <c r="S22" s="1977"/>
      <c r="T22" s="3822">
        <v>56.700000000000045</v>
      </c>
      <c r="U22" s="1977"/>
      <c r="V22" s="3822">
        <f>$AD22-$D22-$F22-$H22-$J22-$L22-$N22-$P22-$R22-$T22</f>
        <v>46.199999999999832</v>
      </c>
      <c r="W22" s="1977"/>
      <c r="X22" s="1768"/>
      <c r="Y22" s="1977"/>
      <c r="Z22" s="1768"/>
      <c r="AA22" s="1978"/>
      <c r="AB22" s="1979"/>
      <c r="AC22" s="1981"/>
      <c r="AD22" s="1768">
        <v>583.29999999999995</v>
      </c>
      <c r="AE22" s="2011"/>
      <c r="AF22" s="3114"/>
      <c r="AG22" s="1768">
        <v>617.6</v>
      </c>
      <c r="AH22" s="1061"/>
      <c r="AI22" s="64"/>
      <c r="AJ22" s="883">
        <f t="shared" si="0"/>
        <v>-34.299999999999997</v>
      </c>
      <c r="AK22" s="876"/>
      <c r="AL22" s="1797">
        <f t="shared" si="1"/>
        <v>-5.6000000000000001E-2</v>
      </c>
    </row>
    <row r="23" spans="1:38" s="875" customFormat="1" ht="15" customHeight="1">
      <c r="A23" s="1058"/>
      <c r="B23" s="1774" t="s">
        <v>1532</v>
      </c>
      <c r="C23" s="104"/>
      <c r="D23" s="884">
        <v>1.5</v>
      </c>
      <c r="E23" s="1818"/>
      <c r="F23" s="884">
        <v>1.1000000000000001</v>
      </c>
      <c r="G23" s="1818"/>
      <c r="H23" s="884">
        <v>1.1000000000000001</v>
      </c>
      <c r="I23" s="1818"/>
      <c r="J23" s="3822">
        <v>0.90000000000000036</v>
      </c>
      <c r="K23" s="1517"/>
      <c r="L23" s="3822">
        <v>1.0999999999999996</v>
      </c>
      <c r="M23" s="1517"/>
      <c r="N23" s="3822">
        <v>0.99999999999999956</v>
      </c>
      <c r="O23" s="1517"/>
      <c r="P23" s="3822">
        <v>1.1000000000000001</v>
      </c>
      <c r="Q23" s="1977"/>
      <c r="R23" s="3822">
        <v>1.0000000000000018</v>
      </c>
      <c r="S23" s="1977"/>
      <c r="T23" s="3822">
        <v>1.1999999999999993</v>
      </c>
      <c r="U23" s="1977"/>
      <c r="V23" s="3822">
        <f>$AD23-$D23-$F23-$H23-$J23-$L23-$N23-$P23-$R23-$T23</f>
        <v>1.0999999999999992</v>
      </c>
      <c r="W23" s="1977"/>
      <c r="X23" s="1768"/>
      <c r="Y23" s="1977"/>
      <c r="Z23" s="1768"/>
      <c r="AA23" s="1978"/>
      <c r="AB23" s="1979"/>
      <c r="AC23" s="1981"/>
      <c r="AD23" s="1768">
        <v>11.1</v>
      </c>
      <c r="AE23" s="2011"/>
      <c r="AF23" s="3114"/>
      <c r="AG23" s="1768">
        <v>7.2</v>
      </c>
      <c r="AH23" s="1061"/>
      <c r="AI23" s="64"/>
      <c r="AJ23" s="883">
        <f t="shared" si="0"/>
        <v>3.9</v>
      </c>
      <c r="AK23" s="876"/>
      <c r="AL23" s="1703">
        <f>ROUND(IF(AG23=0,1,AJ23/ABS(AG23)),3)</f>
        <v>0.54200000000000004</v>
      </c>
    </row>
    <row r="24" spans="1:38" s="875" customFormat="1" ht="15" customHeight="1">
      <c r="A24" s="1058"/>
      <c r="B24" s="1065" t="s">
        <v>1009</v>
      </c>
      <c r="C24" s="104"/>
      <c r="D24" s="884">
        <v>7.2</v>
      </c>
      <c r="E24" s="1818"/>
      <c r="F24" s="884">
        <v>8.6000000000000014</v>
      </c>
      <c r="G24" s="1818"/>
      <c r="H24" s="884">
        <v>9.8999999999999986</v>
      </c>
      <c r="I24" s="1818"/>
      <c r="J24" s="3822">
        <v>9.5000000000000036</v>
      </c>
      <c r="K24" s="1517"/>
      <c r="L24" s="3822">
        <v>9.6999999999999922</v>
      </c>
      <c r="M24" s="1517"/>
      <c r="N24" s="3822">
        <v>10.200000000000003</v>
      </c>
      <c r="O24" s="1517"/>
      <c r="P24" s="3822">
        <v>9.4999999999999929</v>
      </c>
      <c r="Q24" s="1977"/>
      <c r="R24" s="3822">
        <v>6.5000000000000036</v>
      </c>
      <c r="S24" s="1977"/>
      <c r="T24" s="3822">
        <v>10.100000000000012</v>
      </c>
      <c r="U24" s="1977"/>
      <c r="V24" s="3822">
        <f t="shared" si="2"/>
        <v>6.5</v>
      </c>
      <c r="W24" s="1977"/>
      <c r="X24" s="1768"/>
      <c r="Y24" s="1977"/>
      <c r="Z24" s="1768"/>
      <c r="AA24" s="1978"/>
      <c r="AB24" s="1979"/>
      <c r="AC24" s="1981"/>
      <c r="AD24" s="1768">
        <v>87.7</v>
      </c>
      <c r="AE24" s="2011"/>
      <c r="AF24" s="3114"/>
      <c r="AG24" s="1768">
        <v>76.400000000000006</v>
      </c>
      <c r="AH24" s="1061"/>
      <c r="AI24" s="64"/>
      <c r="AJ24" s="883">
        <f t="shared" si="0"/>
        <v>11.3</v>
      </c>
      <c r="AK24" s="876"/>
      <c r="AL24" s="1801">
        <f t="shared" si="1"/>
        <v>0.14799999999999999</v>
      </c>
    </row>
    <row r="25" spans="1:38" s="875" customFormat="1" ht="15" customHeight="1">
      <c r="A25" s="1058"/>
      <c r="B25" s="1065" t="s">
        <v>1010</v>
      </c>
      <c r="C25" s="104"/>
      <c r="D25" s="884">
        <v>0</v>
      </c>
      <c r="E25" s="1818"/>
      <c r="F25" s="884">
        <v>0</v>
      </c>
      <c r="G25" s="1818"/>
      <c r="H25" s="884">
        <v>0</v>
      </c>
      <c r="I25" s="1818"/>
      <c r="J25" s="3822">
        <v>0</v>
      </c>
      <c r="K25" s="1517"/>
      <c r="L25" s="3822">
        <v>0</v>
      </c>
      <c r="M25" s="1517"/>
      <c r="N25" s="3822">
        <v>0</v>
      </c>
      <c r="O25" s="1517"/>
      <c r="P25" s="3822">
        <v>0</v>
      </c>
      <c r="Q25" s="1977"/>
      <c r="R25" s="3822">
        <v>0</v>
      </c>
      <c r="S25" s="1977"/>
      <c r="T25" s="3822">
        <v>0</v>
      </c>
      <c r="U25" s="1977"/>
      <c r="V25" s="3822">
        <f>$AD25-$D25-$F25-$H25-$J25-$L25-$N25-$P25-$R25-$T25</f>
        <v>0</v>
      </c>
      <c r="W25" s="1977"/>
      <c r="X25" s="1768"/>
      <c r="Y25" s="1977"/>
      <c r="Z25" s="1768"/>
      <c r="AA25" s="1978"/>
      <c r="AB25" s="1979"/>
      <c r="AC25" s="1981"/>
      <c r="AD25" s="1768">
        <v>0</v>
      </c>
      <c r="AE25" s="2011"/>
      <c r="AF25" s="3114"/>
      <c r="AG25" s="1768">
        <v>0</v>
      </c>
      <c r="AH25" s="1061"/>
      <c r="AI25" s="64"/>
      <c r="AJ25" s="883">
        <f t="shared" si="0"/>
        <v>0</v>
      </c>
      <c r="AK25" s="876"/>
      <c r="AL25" s="1801">
        <f t="shared" si="1"/>
        <v>0</v>
      </c>
    </row>
    <row r="26" spans="1:38" s="875" customFormat="1" ht="15" customHeight="1">
      <c r="A26" s="1058"/>
      <c r="B26" s="1065" t="s">
        <v>1011</v>
      </c>
      <c r="C26" s="104"/>
      <c r="D26" s="884">
        <v>0.1</v>
      </c>
      <c r="E26" s="1818"/>
      <c r="F26" s="884">
        <v>0</v>
      </c>
      <c r="G26" s="1818"/>
      <c r="H26" s="884">
        <v>0</v>
      </c>
      <c r="I26" s="1818"/>
      <c r="J26" s="3822">
        <v>0.1</v>
      </c>
      <c r="K26" s="1517"/>
      <c r="L26" s="3822">
        <v>0</v>
      </c>
      <c r="M26" s="1517"/>
      <c r="N26" s="3822">
        <v>9.9999999999999978E-2</v>
      </c>
      <c r="O26" s="1517"/>
      <c r="P26" s="3822">
        <v>0.20000000000000007</v>
      </c>
      <c r="Q26" s="1977"/>
      <c r="R26" s="3822">
        <v>0.69999999999999984</v>
      </c>
      <c r="S26" s="1977"/>
      <c r="T26" s="3822">
        <v>0.29999999999999982</v>
      </c>
      <c r="U26" s="1977"/>
      <c r="V26" s="3822">
        <f t="shared" si="2"/>
        <v>0.20000000000000007</v>
      </c>
      <c r="W26" s="1977"/>
      <c r="X26" s="1768"/>
      <c r="Y26" s="1977"/>
      <c r="Z26" s="1768"/>
      <c r="AA26" s="1978"/>
      <c r="AB26" s="1979"/>
      <c r="AC26" s="1981"/>
      <c r="AD26" s="1768">
        <v>1.7</v>
      </c>
      <c r="AE26" s="2011"/>
      <c r="AF26" s="3114"/>
      <c r="AG26" s="1768">
        <v>0.4</v>
      </c>
      <c r="AH26" s="1061"/>
      <c r="AI26" s="64"/>
      <c r="AJ26" s="883">
        <f t="shared" si="0"/>
        <v>1.3</v>
      </c>
      <c r="AK26" s="876"/>
      <c r="AL26" s="1808">
        <f>ROUND(IF(AG26=0,1,AJ26/ABS(AG26)),3)</f>
        <v>3.25</v>
      </c>
    </row>
    <row r="27" spans="1:38" s="875" customFormat="1" ht="15" customHeight="1">
      <c r="A27" s="1058"/>
      <c r="B27" s="2210" t="s">
        <v>1325</v>
      </c>
      <c r="C27" s="104"/>
      <c r="D27" s="884">
        <v>0.2</v>
      </c>
      <c r="E27" s="1818"/>
      <c r="F27" s="884">
        <v>0</v>
      </c>
      <c r="G27" s="1818"/>
      <c r="H27" s="884">
        <v>6.6</v>
      </c>
      <c r="I27" s="1818"/>
      <c r="J27" s="3822">
        <v>0.20000000000000018</v>
      </c>
      <c r="K27" s="1517"/>
      <c r="L27" s="3822">
        <v>0</v>
      </c>
      <c r="M27" s="1517"/>
      <c r="N27" s="3822">
        <v>7.8000000000000016</v>
      </c>
      <c r="O27" s="1517"/>
      <c r="P27" s="3822">
        <v>0</v>
      </c>
      <c r="Q27" s="1977"/>
      <c r="R27" s="3822">
        <v>9.9999999999999645E-2</v>
      </c>
      <c r="S27" s="1977"/>
      <c r="T27" s="3822">
        <v>7.7</v>
      </c>
      <c r="U27" s="1977"/>
      <c r="V27" s="3822">
        <f t="shared" ref="V27" si="3">$AD27-$D27-$F27-$H27-$J27-$L27-$N27-$P27-$R27-$T27</f>
        <v>9.9999999999997868E-2</v>
      </c>
      <c r="W27" s="1977"/>
      <c r="X27" s="1768"/>
      <c r="Y27" s="1977"/>
      <c r="Z27" s="1768"/>
      <c r="AA27" s="1978"/>
      <c r="AB27" s="1979"/>
      <c r="AC27" s="1981"/>
      <c r="AD27" s="1768">
        <v>22.7</v>
      </c>
      <c r="AE27" s="2011"/>
      <c r="AF27" s="3114"/>
      <c r="AG27" s="1768">
        <v>25.5</v>
      </c>
      <c r="AH27" s="1061"/>
      <c r="AI27" s="64"/>
      <c r="AJ27" s="883">
        <f t="shared" si="0"/>
        <v>-2.8</v>
      </c>
      <c r="AK27" s="876"/>
      <c r="AL27" s="1808">
        <f>ROUND(IF(AG27=0,1,AJ27/ABS(AG27)),3)</f>
        <v>-0.11</v>
      </c>
    </row>
    <row r="28" spans="1:38" s="742" customFormat="1" ht="15" customHeight="1">
      <c r="A28" s="1056"/>
      <c r="B28" s="1066" t="s">
        <v>1117</v>
      </c>
      <c r="C28" s="26"/>
      <c r="D28" s="1816">
        <f>ROUND(SUM(D20:D27),1)</f>
        <v>187.7</v>
      </c>
      <c r="E28" s="910"/>
      <c r="F28" s="1816">
        <f>ROUND(SUM(F20:F27),1)</f>
        <v>142</v>
      </c>
      <c r="G28" s="910"/>
      <c r="H28" s="1816">
        <f>ROUND(SUM(H20:H27),1)</f>
        <v>189.2</v>
      </c>
      <c r="I28" s="910"/>
      <c r="J28" s="1816">
        <f>ROUND(SUM(J20:J27),1)</f>
        <v>157.4</v>
      </c>
      <c r="K28" s="910"/>
      <c r="L28" s="58">
        <f>ROUND(SUM(L20:L27),1)</f>
        <v>156.4</v>
      </c>
      <c r="M28" s="910"/>
      <c r="N28" s="58">
        <f>ROUND(SUM(N20:N27),1)</f>
        <v>191.9</v>
      </c>
      <c r="O28" s="910"/>
      <c r="P28" s="2012">
        <f>ROUND(SUM(P20:P27),1)</f>
        <v>157.80000000000001</v>
      </c>
      <c r="Q28" s="1445"/>
      <c r="R28" s="2012">
        <f>ROUND(SUM(R20:R27),1)</f>
        <v>152.9</v>
      </c>
      <c r="S28" s="1445"/>
      <c r="T28" s="2012">
        <f>ROUND(SUM(T20:T27),1)</f>
        <v>193.8</v>
      </c>
      <c r="U28" s="1445"/>
      <c r="V28" s="2012">
        <f>ROUND(SUM(V20:V27),1)</f>
        <v>151.1</v>
      </c>
      <c r="W28" s="1445"/>
      <c r="X28" s="2012">
        <f>ROUND(SUM(X20:X27),1)</f>
        <v>0</v>
      </c>
      <c r="Y28" s="1445"/>
      <c r="Z28" s="2012">
        <f>ROUND(SUM(Z20:Z27),1)</f>
        <v>0</v>
      </c>
      <c r="AA28" s="1428"/>
      <c r="AB28" s="1445"/>
      <c r="AC28" s="1991"/>
      <c r="AD28" s="1996">
        <f>ROUND(SUM(AD20:AD27),1)</f>
        <v>1680.2</v>
      </c>
      <c r="AE28" s="2029"/>
      <c r="AF28" s="3115"/>
      <c r="AG28" s="1996">
        <f>ROUND(SUM(AG20:AG27),1)</f>
        <v>1489</v>
      </c>
      <c r="AH28" s="279"/>
      <c r="AI28" s="73"/>
      <c r="AJ28" s="58">
        <f>ROUND(SUM(AJ20:AJ27),1)</f>
        <v>191.2</v>
      </c>
      <c r="AK28" s="206"/>
      <c r="AL28" s="1038">
        <f t="shared" si="1"/>
        <v>0.128</v>
      </c>
    </row>
    <row r="29" spans="1:38" ht="15" customHeight="1">
      <c r="A29" s="147"/>
      <c r="B29" s="1188" t="s">
        <v>995</v>
      </c>
      <c r="C29" s="28"/>
      <c r="D29" s="1511"/>
      <c r="E29" s="1511"/>
      <c r="F29" s="1511"/>
      <c r="G29" s="1511"/>
      <c r="H29" s="1511"/>
      <c r="I29" s="1511"/>
      <c r="J29" s="1511"/>
      <c r="K29" s="63"/>
      <c r="L29" s="63"/>
      <c r="M29" s="63"/>
      <c r="N29" s="63"/>
      <c r="O29" s="63"/>
      <c r="P29" s="1985"/>
      <c r="Q29" s="1985"/>
      <c r="R29" s="1985"/>
      <c r="S29" s="1985"/>
      <c r="T29" s="1985"/>
      <c r="U29" s="1985"/>
      <c r="V29" s="1985"/>
      <c r="W29" s="1985"/>
      <c r="X29" s="1985"/>
      <c r="Y29" s="1985"/>
      <c r="Z29" s="1985"/>
      <c r="AA29" s="1985"/>
      <c r="AB29" s="1985"/>
      <c r="AC29" s="1988"/>
      <c r="AD29" s="1974"/>
      <c r="AE29" s="1974"/>
      <c r="AF29" s="3113"/>
      <c r="AG29" s="1974"/>
      <c r="AH29" s="272"/>
      <c r="AI29" s="53"/>
      <c r="AJ29" s="634"/>
      <c r="AK29" s="908"/>
      <c r="AL29" s="908"/>
    </row>
    <row r="30" spans="1:38" s="875" customFormat="1" ht="15" customHeight="1">
      <c r="A30" s="1058"/>
      <c r="B30" s="1065" t="s">
        <v>1013</v>
      </c>
      <c r="C30" s="104"/>
      <c r="D30" s="884">
        <v>154.6</v>
      </c>
      <c r="E30" s="1818"/>
      <c r="F30" s="884">
        <v>39.800000000000011</v>
      </c>
      <c r="G30" s="1818"/>
      <c r="H30" s="884">
        <v>264.3</v>
      </c>
      <c r="I30" s="1511"/>
      <c r="J30" s="3822">
        <v>60.399999999999977</v>
      </c>
      <c r="K30" s="1517"/>
      <c r="L30" s="3822">
        <v>8.6000000000000227</v>
      </c>
      <c r="M30" s="1517"/>
      <c r="N30" s="3822">
        <v>260.7</v>
      </c>
      <c r="O30" s="1517"/>
      <c r="P30" s="3822">
        <v>43.5</v>
      </c>
      <c r="Q30" s="1977"/>
      <c r="R30" s="1768">
        <v>27.099999999999909</v>
      </c>
      <c r="S30" s="1977"/>
      <c r="T30" s="3822">
        <v>247.09999999999997</v>
      </c>
      <c r="U30" s="1977"/>
      <c r="V30" s="3822">
        <f t="shared" ref="V30:V34" si="4">$AD30-$D30-$F30-$H30-$J30-$L30-$N30-$P30-$R30-$T30</f>
        <v>40.200000000000045</v>
      </c>
      <c r="W30" s="1977"/>
      <c r="X30" s="1768"/>
      <c r="Y30" s="1977"/>
      <c r="Z30" s="1768"/>
      <c r="AA30" s="1978"/>
      <c r="AB30" s="1979"/>
      <c r="AC30" s="1981"/>
      <c r="AD30" s="1768">
        <v>1146.3</v>
      </c>
      <c r="AE30" s="2011"/>
      <c r="AF30" s="3114"/>
      <c r="AG30" s="1768">
        <v>759.4</v>
      </c>
      <c r="AH30" s="1061"/>
      <c r="AI30" s="64"/>
      <c r="AJ30" s="883">
        <f>ROUND(SUM(+AD30-AG30),1)</f>
        <v>386.9</v>
      </c>
      <c r="AK30" s="876"/>
      <c r="AL30" s="1801">
        <f t="shared" ref="AL30:AL35" si="5">ROUND(IF(AG30=0,0,AJ30/ABS(AG30)),3)</f>
        <v>0.50900000000000001</v>
      </c>
    </row>
    <row r="31" spans="1:38" s="875" customFormat="1" ht="15" customHeight="1">
      <c r="A31" s="1058"/>
      <c r="B31" s="1065" t="s">
        <v>1014</v>
      </c>
      <c r="C31" s="104"/>
      <c r="D31" s="884">
        <v>19.3</v>
      </c>
      <c r="E31" s="1818"/>
      <c r="F31" s="884">
        <v>0.5</v>
      </c>
      <c r="G31" s="1818"/>
      <c r="H31" s="884">
        <v>18.099999999999998</v>
      </c>
      <c r="I31" s="1511"/>
      <c r="J31" s="3822">
        <v>-7.6999999999999993</v>
      </c>
      <c r="K31" s="1517"/>
      <c r="L31" s="3822">
        <v>-9.9999999999997868E-2</v>
      </c>
      <c r="M31" s="1517"/>
      <c r="N31" s="3822">
        <v>18.899999999999999</v>
      </c>
      <c r="O31" s="1517"/>
      <c r="P31" s="3822">
        <v>-0.70000000000000284</v>
      </c>
      <c r="Q31" s="1977"/>
      <c r="R31" s="1768">
        <v>0.10000000000000142</v>
      </c>
      <c r="S31" s="1977"/>
      <c r="T31" s="3822">
        <v>20.700000000000003</v>
      </c>
      <c r="U31" s="1977"/>
      <c r="V31" s="3822">
        <f t="shared" si="4"/>
        <v>-0.5</v>
      </c>
      <c r="W31" s="1977"/>
      <c r="X31" s="1768"/>
      <c r="Y31" s="1977"/>
      <c r="Z31" s="1768"/>
      <c r="AA31" s="1978"/>
      <c r="AB31" s="1979"/>
      <c r="AC31" s="1981"/>
      <c r="AD31" s="1768">
        <v>68.599999999999994</v>
      </c>
      <c r="AE31" s="2011"/>
      <c r="AF31" s="3114"/>
      <c r="AG31" s="1768">
        <v>89.8</v>
      </c>
      <c r="AH31" s="1061"/>
      <c r="AI31" s="64"/>
      <c r="AJ31" s="883">
        <f>ROUND(SUM(+AD31-AG31),1)</f>
        <v>-21.2</v>
      </c>
      <c r="AK31" s="876"/>
      <c r="AL31" s="1801">
        <f t="shared" si="5"/>
        <v>-0.23599999999999999</v>
      </c>
    </row>
    <row r="32" spans="1:38" s="875" customFormat="1" ht="15" customHeight="1">
      <c r="A32" s="1058"/>
      <c r="B32" s="1065" t="s">
        <v>1015</v>
      </c>
      <c r="C32" s="104"/>
      <c r="D32" s="884">
        <v>-8.8000000000000007</v>
      </c>
      <c r="E32" s="1818"/>
      <c r="F32" s="884">
        <v>2.5000000000000009</v>
      </c>
      <c r="G32" s="1818"/>
      <c r="H32" s="884">
        <v>44.8</v>
      </c>
      <c r="I32" s="1511"/>
      <c r="J32" s="3822">
        <v>2.5</v>
      </c>
      <c r="K32" s="1517"/>
      <c r="L32" s="3822">
        <v>4.8000000000000114</v>
      </c>
      <c r="M32" s="1517"/>
      <c r="N32" s="3822">
        <v>50.099999999999994</v>
      </c>
      <c r="O32" s="1517"/>
      <c r="P32" s="3822">
        <v>8.7000000000000028</v>
      </c>
      <c r="Q32" s="1977"/>
      <c r="R32" s="1768">
        <v>3.3999999999999915</v>
      </c>
      <c r="S32" s="1977"/>
      <c r="T32" s="3822">
        <v>50.000000000000014</v>
      </c>
      <c r="U32" s="1977"/>
      <c r="V32" s="3822">
        <f t="shared" si="4"/>
        <v>-1.7000000000000171</v>
      </c>
      <c r="W32" s="1977"/>
      <c r="X32" s="1768"/>
      <c r="Y32" s="1977"/>
      <c r="Z32" s="1768"/>
      <c r="AA32" s="1978"/>
      <c r="AB32" s="1979"/>
      <c r="AC32" s="1981"/>
      <c r="AD32" s="1768">
        <v>156.29999999999998</v>
      </c>
      <c r="AE32" s="2011"/>
      <c r="AF32" s="3114"/>
      <c r="AG32" s="1768">
        <v>136.6</v>
      </c>
      <c r="AH32" s="1061"/>
      <c r="AI32" s="64"/>
      <c r="AJ32" s="883">
        <f>ROUND(SUM(+AD32-AG32),1)</f>
        <v>19.7</v>
      </c>
      <c r="AK32" s="876"/>
      <c r="AL32" s="1802">
        <f t="shared" si="5"/>
        <v>0.14399999999999999</v>
      </c>
    </row>
    <row r="33" spans="1:39" s="875" customFormat="1" ht="15" customHeight="1">
      <c r="A33" s="1058"/>
      <c r="B33" s="1065" t="s">
        <v>1016</v>
      </c>
      <c r="C33" s="104"/>
      <c r="D33" s="884">
        <v>3.1</v>
      </c>
      <c r="E33" s="1818"/>
      <c r="F33" s="884">
        <v>-3</v>
      </c>
      <c r="G33" s="1818"/>
      <c r="H33" s="884">
        <v>3.6999999999999997</v>
      </c>
      <c r="I33" s="1511"/>
      <c r="J33" s="3822">
        <v>0</v>
      </c>
      <c r="K33" s="1517"/>
      <c r="L33" s="3822">
        <v>0</v>
      </c>
      <c r="M33" s="1517"/>
      <c r="N33" s="3822">
        <v>-4.5999999999999996</v>
      </c>
      <c r="O33" s="1517"/>
      <c r="P33" s="3822">
        <v>0.5</v>
      </c>
      <c r="Q33" s="1977"/>
      <c r="R33" s="1768">
        <v>-9.9999999999999645E-2</v>
      </c>
      <c r="S33" s="1977"/>
      <c r="T33" s="3822">
        <v>9.9999999999999645E-2</v>
      </c>
      <c r="U33" s="1977"/>
      <c r="V33" s="3822">
        <f t="shared" si="4"/>
        <v>0</v>
      </c>
      <c r="W33" s="1977"/>
      <c r="X33" s="1768"/>
      <c r="Y33" s="1977"/>
      <c r="Z33" s="1768"/>
      <c r="AA33" s="1978"/>
      <c r="AB33" s="1979"/>
      <c r="AC33" s="1981"/>
      <c r="AD33" s="1768">
        <v>-0.3</v>
      </c>
      <c r="AE33" s="2011"/>
      <c r="AF33" s="3114"/>
      <c r="AG33" s="1768">
        <v>16.8</v>
      </c>
      <c r="AH33" s="1061"/>
      <c r="AI33" s="64"/>
      <c r="AJ33" s="883">
        <f>ROUND(SUM(+AD33-AG33),1)</f>
        <v>-17.100000000000001</v>
      </c>
      <c r="AK33" s="876"/>
      <c r="AL33" s="1802">
        <f t="shared" si="5"/>
        <v>-1.018</v>
      </c>
    </row>
    <row r="34" spans="1:39" s="875" customFormat="1" ht="15" customHeight="1">
      <c r="A34" s="1058"/>
      <c r="B34" s="1065" t="s">
        <v>1017</v>
      </c>
      <c r="C34" s="104"/>
      <c r="D34" s="884">
        <v>30.7</v>
      </c>
      <c r="E34" s="1818"/>
      <c r="F34" s="884">
        <v>39.799999999999997</v>
      </c>
      <c r="G34" s="1818"/>
      <c r="H34" s="884">
        <v>40.599999999999994</v>
      </c>
      <c r="I34" s="1511"/>
      <c r="J34" s="3822">
        <v>43.700000000000017</v>
      </c>
      <c r="K34" s="1517"/>
      <c r="L34" s="3822">
        <v>42.2</v>
      </c>
      <c r="M34" s="1517"/>
      <c r="N34" s="3822">
        <v>33.799999999999997</v>
      </c>
      <c r="O34" s="1517"/>
      <c r="P34" s="3822">
        <v>40.699999999999989</v>
      </c>
      <c r="Q34" s="1977"/>
      <c r="R34" s="1768">
        <v>40.5</v>
      </c>
      <c r="S34" s="1977"/>
      <c r="T34" s="3822">
        <v>34.000000000000014</v>
      </c>
      <c r="U34" s="1977"/>
      <c r="V34" s="3822">
        <f t="shared" si="4"/>
        <v>38.099999999999952</v>
      </c>
      <c r="W34" s="1977"/>
      <c r="X34" s="1768"/>
      <c r="Y34" s="1977"/>
      <c r="Z34" s="1768"/>
      <c r="AA34" s="1978"/>
      <c r="AB34" s="1979"/>
      <c r="AC34" s="1981"/>
      <c r="AD34" s="1768">
        <v>384.1</v>
      </c>
      <c r="AE34" s="2011"/>
      <c r="AF34" s="3114"/>
      <c r="AG34" s="1768">
        <v>352.5</v>
      </c>
      <c r="AH34" s="1061"/>
      <c r="AI34" s="64"/>
      <c r="AJ34" s="883">
        <f>ROUND(SUM(+AD34-AG34),1)</f>
        <v>31.6</v>
      </c>
      <c r="AK34" s="876"/>
      <c r="AL34" s="1801">
        <f t="shared" si="5"/>
        <v>0.09</v>
      </c>
    </row>
    <row r="35" spans="1:39" s="742" customFormat="1" ht="15" customHeight="1">
      <c r="A35" s="1056"/>
      <c r="B35" s="1066" t="s">
        <v>1120</v>
      </c>
      <c r="C35" s="26"/>
      <c r="D35" s="1816">
        <f>ROUND(SUM(D30:D34),1)</f>
        <v>198.9</v>
      </c>
      <c r="E35" s="910"/>
      <c r="F35" s="1816">
        <f>ROUND(SUM(F30:F34),1)</f>
        <v>79.599999999999994</v>
      </c>
      <c r="G35" s="910"/>
      <c r="H35" s="1816">
        <f>ROUND(SUM(H30:H34),1)</f>
        <v>371.5</v>
      </c>
      <c r="I35" s="910"/>
      <c r="J35" s="1816">
        <f>ROUND(SUM(J30:J34),1)</f>
        <v>98.9</v>
      </c>
      <c r="K35" s="910"/>
      <c r="L35" s="58">
        <f>ROUND(SUM(L30:L34),1)</f>
        <v>55.5</v>
      </c>
      <c r="M35" s="910"/>
      <c r="N35" s="58">
        <f>ROUND(SUM(N30:N34),1)</f>
        <v>358.9</v>
      </c>
      <c r="O35" s="910"/>
      <c r="P35" s="2012">
        <f>ROUND(SUM(P30:P34),1)</f>
        <v>92.7</v>
      </c>
      <c r="Q35" s="1445"/>
      <c r="R35" s="2012">
        <f>ROUND(SUM(R30:R34),1)</f>
        <v>71</v>
      </c>
      <c r="S35" s="1445"/>
      <c r="T35" s="2012">
        <f>ROUND(SUM(T30:T34),1)</f>
        <v>351.9</v>
      </c>
      <c r="U35" s="1445"/>
      <c r="V35" s="2012">
        <f>ROUND(SUM(V30:V34),1)</f>
        <v>76.099999999999994</v>
      </c>
      <c r="W35" s="1445"/>
      <c r="X35" s="2012">
        <f>ROUND(SUM(X30:X34),1)</f>
        <v>0</v>
      </c>
      <c r="Y35" s="1445"/>
      <c r="Z35" s="2012">
        <f>ROUND(SUM(Z30:Z34),1)</f>
        <v>0</v>
      </c>
      <c r="AA35" s="1428"/>
      <c r="AB35" s="1445"/>
      <c r="AC35" s="1991"/>
      <c r="AD35" s="1996">
        <f>ROUND(SUM(AD30:AD34),1)</f>
        <v>1755</v>
      </c>
      <c r="AE35" s="2029"/>
      <c r="AF35" s="3115"/>
      <c r="AG35" s="1996">
        <f>ROUND(SUM(AG30:AG34),1)</f>
        <v>1355.1</v>
      </c>
      <c r="AH35" s="279"/>
      <c r="AI35" s="73"/>
      <c r="AJ35" s="58">
        <f>ROUND(SUM(AJ30:AJ34),1)</f>
        <v>399.9</v>
      </c>
      <c r="AK35" s="206"/>
      <c r="AL35" s="3811">
        <f t="shared" si="5"/>
        <v>0.29499999999999998</v>
      </c>
    </row>
    <row r="36" spans="1:39" ht="15" customHeight="1">
      <c r="A36" s="147"/>
      <c r="B36" s="1066"/>
      <c r="C36" s="28"/>
      <c r="D36" s="1511"/>
      <c r="E36" s="1511"/>
      <c r="F36" s="1511"/>
      <c r="G36" s="1511"/>
      <c r="H36" s="1511"/>
      <c r="I36" s="1511"/>
      <c r="J36" s="1511"/>
      <c r="K36" s="63"/>
      <c r="L36" s="63"/>
      <c r="M36" s="63"/>
      <c r="N36" s="63"/>
      <c r="O36" s="63"/>
      <c r="P36" s="1985"/>
      <c r="Q36" s="1985"/>
      <c r="R36" s="1985"/>
      <c r="S36" s="1985"/>
      <c r="T36" s="1985"/>
      <c r="U36" s="1985"/>
      <c r="V36" s="1985"/>
      <c r="W36" s="1985"/>
      <c r="X36" s="1985"/>
      <c r="Y36" s="1985"/>
      <c r="Z36" s="1985"/>
      <c r="AA36" s="1985"/>
      <c r="AB36" s="1985"/>
      <c r="AC36" s="2013"/>
      <c r="AD36" s="1956"/>
      <c r="AE36" s="1974"/>
      <c r="AF36" s="3113"/>
      <c r="AG36" s="1956"/>
      <c r="AH36" s="272"/>
      <c r="AI36" s="53"/>
      <c r="AJ36" s="634"/>
      <c r="AK36" s="908"/>
      <c r="AL36" s="1417"/>
    </row>
    <row r="37" spans="1:39" ht="15" customHeight="1">
      <c r="A37" s="147"/>
      <c r="B37" s="307" t="s">
        <v>992</v>
      </c>
      <c r="C37" s="28"/>
      <c r="D37" s="3470">
        <f>ROUND(SUM(D17+D28+D35),1)</f>
        <v>386.6</v>
      </c>
      <c r="E37" s="1511"/>
      <c r="F37" s="3470">
        <f>ROUND(SUM(F17+F28+F35),1)</f>
        <v>221.6</v>
      </c>
      <c r="G37" s="1511"/>
      <c r="H37" s="3470">
        <f>ROUND(SUM(H17+H28+H35),1)</f>
        <v>560.70000000000005</v>
      </c>
      <c r="I37" s="1511"/>
      <c r="J37" s="3470">
        <f>ROUND(SUM(J17+J28+J35),1)</f>
        <v>256.3</v>
      </c>
      <c r="K37" s="63"/>
      <c r="L37" s="3470">
        <f>ROUND(SUM(L17+L28+L35),1)</f>
        <v>211.9</v>
      </c>
      <c r="M37" s="1511"/>
      <c r="N37" s="3470">
        <f>ROUND(SUM(N17+N28+N35),1)</f>
        <v>550.79999999999995</v>
      </c>
      <c r="O37" s="1511"/>
      <c r="P37" s="3470">
        <f>ROUND(SUM(P17+P28+P35),1)</f>
        <v>251.7</v>
      </c>
      <c r="Q37" s="1511"/>
      <c r="R37" s="3470">
        <f>ROUND(SUM(R17+R28+R35),1)</f>
        <v>224.7</v>
      </c>
      <c r="S37" s="1985"/>
      <c r="T37" s="3470">
        <f>ROUND(SUM(T17+T28+T35),1)</f>
        <v>559.79999999999995</v>
      </c>
      <c r="U37" s="1511"/>
      <c r="V37" s="3470">
        <f>ROUND(SUM(V17+V28+V35),1)</f>
        <v>2077.1999999999998</v>
      </c>
      <c r="W37" s="1511"/>
      <c r="X37" s="3470">
        <f>ROUND(SUM(X17+X28+X35),1)</f>
        <v>0</v>
      </c>
      <c r="Y37" s="1511"/>
      <c r="Z37" s="3470">
        <f>ROUND(SUM(Z17+Z28+Z35),1)</f>
        <v>0</v>
      </c>
      <c r="AA37" s="2015"/>
      <c r="AB37" s="1985"/>
      <c r="AC37" s="2016"/>
      <c r="AD37" s="3470">
        <f>ROUND(SUM(AD17+AD28+AD35),1)</f>
        <v>5301.3</v>
      </c>
      <c r="AE37" s="1974"/>
      <c r="AF37" s="2018"/>
      <c r="AG37" s="3470">
        <f>ROUND(SUM(AG17+AG28+AG35),1)</f>
        <v>4852.7</v>
      </c>
      <c r="AH37" s="276"/>
      <c r="AI37" s="53"/>
      <c r="AJ37" s="3470">
        <f>ROUND(SUM(AJ17+AJ28+AJ35),1)</f>
        <v>448.6</v>
      </c>
      <c r="AK37" s="634"/>
      <c r="AL37" s="3471">
        <f>ROUND(IF(AG37=0,0,AJ37/ABS(AG37)),3)</f>
        <v>9.1999999999999998E-2</v>
      </c>
      <c r="AM37" s="773"/>
    </row>
    <row r="38" spans="1:39" ht="15" customHeight="1">
      <c r="A38" s="147"/>
      <c r="B38" s="28"/>
      <c r="C38" s="28"/>
      <c r="D38" s="671"/>
      <c r="E38" s="1511"/>
      <c r="F38" s="671"/>
      <c r="G38" s="1511"/>
      <c r="H38" s="1511"/>
      <c r="I38" s="1511"/>
      <c r="J38" s="671"/>
      <c r="K38" s="63"/>
      <c r="L38" s="74"/>
      <c r="M38" s="63"/>
      <c r="N38" s="74"/>
      <c r="O38" s="63"/>
      <c r="P38" s="1994"/>
      <c r="Q38" s="1985"/>
      <c r="R38" s="1994"/>
      <c r="S38" s="1985"/>
      <c r="T38" s="1994"/>
      <c r="U38" s="1985"/>
      <c r="V38" s="1994"/>
      <c r="W38" s="1985"/>
      <c r="X38" s="1994"/>
      <c r="Y38" s="1985"/>
      <c r="Z38" s="1994"/>
      <c r="AA38" s="1994"/>
      <c r="AB38" s="1985"/>
      <c r="AC38" s="2016"/>
      <c r="AD38" s="2099"/>
      <c r="AE38" s="2584"/>
      <c r="AF38" s="1976"/>
      <c r="AG38" s="2099"/>
      <c r="AH38" s="276"/>
      <c r="AI38" s="53"/>
      <c r="AJ38" s="634"/>
      <c r="AK38" s="634"/>
      <c r="AL38" s="1416"/>
      <c r="AM38" s="773"/>
    </row>
    <row r="39" spans="1:39" ht="15" customHeight="1">
      <c r="A39" s="147"/>
      <c r="B39" s="258" t="s">
        <v>929</v>
      </c>
      <c r="C39" s="28"/>
      <c r="D39" s="671"/>
      <c r="E39" s="1511"/>
      <c r="F39" s="671"/>
      <c r="G39" s="1511"/>
      <c r="H39" s="1511"/>
      <c r="I39" s="1511"/>
      <c r="J39" s="671"/>
      <c r="K39" s="63"/>
      <c r="L39" s="74"/>
      <c r="M39" s="63"/>
      <c r="N39" s="74"/>
      <c r="O39" s="63"/>
      <c r="P39" s="1994"/>
      <c r="Q39" s="1985"/>
      <c r="R39" s="1994"/>
      <c r="S39" s="1985"/>
      <c r="T39" s="1994"/>
      <c r="U39" s="1985"/>
      <c r="V39" s="1994"/>
      <c r="W39" s="1985"/>
      <c r="X39" s="1994"/>
      <c r="Y39" s="1985"/>
      <c r="Z39" s="1994"/>
      <c r="AA39" s="1994"/>
      <c r="AB39" s="1985"/>
      <c r="AC39" s="2016"/>
      <c r="AD39" s="1974"/>
      <c r="AE39" s="1974"/>
      <c r="AF39" s="1976"/>
      <c r="AG39" s="1974"/>
      <c r="AH39" s="272"/>
      <c r="AI39" s="53"/>
      <c r="AJ39" s="634"/>
      <c r="AK39" s="634"/>
      <c r="AL39" s="1416"/>
      <c r="AM39" s="773"/>
    </row>
    <row r="40" spans="1:39" ht="15" customHeight="1">
      <c r="A40" s="147"/>
      <c r="B40" s="880" t="s">
        <v>1044</v>
      </c>
      <c r="C40" s="28"/>
      <c r="D40" s="671"/>
      <c r="E40" s="1511"/>
      <c r="F40" s="671"/>
      <c r="G40" s="1511"/>
      <c r="H40" s="1511"/>
      <c r="I40" s="1511"/>
      <c r="J40" s="671"/>
      <c r="K40" s="63"/>
      <c r="L40" s="74"/>
      <c r="M40" s="63"/>
      <c r="N40" s="74"/>
      <c r="O40" s="63"/>
      <c r="P40" s="1994"/>
      <c r="Q40" s="1985"/>
      <c r="R40" s="1994"/>
      <c r="S40" s="1985"/>
      <c r="T40" s="1994"/>
      <c r="U40" s="1985"/>
      <c r="V40" s="1994"/>
      <c r="W40" s="1985"/>
      <c r="X40" s="1994"/>
      <c r="Y40" s="1985"/>
      <c r="Z40" s="1994"/>
      <c r="AA40" s="1994"/>
      <c r="AB40" s="1985"/>
      <c r="AC40" s="2016"/>
      <c r="AD40" s="1974"/>
      <c r="AE40" s="1974"/>
      <c r="AF40" s="1976"/>
      <c r="AG40" s="1974"/>
      <c r="AH40" s="272"/>
      <c r="AI40" s="53"/>
      <c r="AJ40" s="634"/>
      <c r="AK40" s="634"/>
      <c r="AL40" s="1416"/>
      <c r="AM40" s="773"/>
    </row>
    <row r="41" spans="1:39" s="875" customFormat="1" ht="15" customHeight="1">
      <c r="A41" s="1058"/>
      <c r="B41" s="880" t="s">
        <v>961</v>
      </c>
      <c r="C41" s="104"/>
      <c r="D41" s="884">
        <v>0.9</v>
      </c>
      <c r="E41" s="883"/>
      <c r="F41" s="884">
        <v>0.99999999999999989</v>
      </c>
      <c r="G41" s="883"/>
      <c r="H41" s="884">
        <v>0.80000000000000038</v>
      </c>
      <c r="I41" s="883"/>
      <c r="J41" s="3822">
        <v>0.8999999999999998</v>
      </c>
      <c r="K41" s="1517"/>
      <c r="L41" s="3822">
        <v>0.9</v>
      </c>
      <c r="M41" s="1517"/>
      <c r="N41" s="3822">
        <v>1.1999999999999997</v>
      </c>
      <c r="O41" s="1517"/>
      <c r="P41" s="3822">
        <v>1</v>
      </c>
      <c r="Q41" s="1977"/>
      <c r="R41" s="1768">
        <v>1.2999999999999998</v>
      </c>
      <c r="S41" s="1977"/>
      <c r="T41" s="3822">
        <v>0.99999999999999956</v>
      </c>
      <c r="U41" s="1977"/>
      <c r="V41" s="3822">
        <f t="shared" ref="V41" si="6">$AD41-$D41-$F41-$H41-$J41-$L41-$N41-$P41-$R41-$T41</f>
        <v>0.89999999999999991</v>
      </c>
      <c r="W41" s="1977"/>
      <c r="X41" s="1768"/>
      <c r="Y41" s="1977"/>
      <c r="Z41" s="1768"/>
      <c r="AA41" s="1978"/>
      <c r="AB41" s="1979"/>
      <c r="AC41" s="1981"/>
      <c r="AD41" s="1768">
        <v>9.9</v>
      </c>
      <c r="AE41" s="2011"/>
      <c r="AF41" s="3114"/>
      <c r="AG41" s="1768">
        <v>9.5</v>
      </c>
      <c r="AH41" s="1061"/>
      <c r="AI41" s="64"/>
      <c r="AJ41" s="883">
        <f>ROUND(SUM(+AD41-AG41),1)</f>
        <v>0.4</v>
      </c>
      <c r="AK41" s="883"/>
      <c r="AL41" s="1797">
        <f>ROUND(IF(AG41=0,0,AJ41/ABS(AG41)),3)</f>
        <v>4.2000000000000003E-2</v>
      </c>
      <c r="AM41" s="1798"/>
    </row>
    <row r="42" spans="1:39" s="875" customFormat="1" ht="15" customHeight="1">
      <c r="A42" s="1058"/>
      <c r="B42" s="880" t="s">
        <v>1045</v>
      </c>
      <c r="C42" s="104"/>
      <c r="D42" s="884" t="s">
        <v>14</v>
      </c>
      <c r="E42" s="1511"/>
      <c r="F42" s="884"/>
      <c r="G42" s="1511"/>
      <c r="H42" s="884"/>
      <c r="I42" s="1511"/>
      <c r="J42" s="884"/>
      <c r="K42" s="115"/>
      <c r="L42" s="3822"/>
      <c r="M42" s="883"/>
      <c r="N42" s="884"/>
      <c r="O42" s="115"/>
      <c r="P42" s="3822"/>
      <c r="Q42" s="1974"/>
      <c r="R42" s="1768"/>
      <c r="S42" s="1974"/>
      <c r="T42" s="1768"/>
      <c r="U42" s="1974"/>
      <c r="V42" s="1768"/>
      <c r="W42" s="1974"/>
      <c r="X42" s="1768"/>
      <c r="Y42" s="1974"/>
      <c r="Z42" s="1768"/>
      <c r="AA42" s="1973"/>
      <c r="AB42" s="1974"/>
      <c r="AC42" s="2018"/>
      <c r="AD42" s="1974"/>
      <c r="AE42" s="1974"/>
      <c r="AF42" s="1976"/>
      <c r="AG42" s="1974"/>
      <c r="AH42" s="1061"/>
      <c r="AI42" s="64"/>
      <c r="AJ42" s="883"/>
      <c r="AK42" s="883"/>
      <c r="AL42" s="1797"/>
      <c r="AM42" s="1798"/>
    </row>
    <row r="43" spans="1:39" s="875" customFormat="1" ht="15" customHeight="1">
      <c r="A43" s="1058"/>
      <c r="B43" s="880" t="s">
        <v>963</v>
      </c>
      <c r="C43" s="104"/>
      <c r="D43" s="884">
        <v>63.7</v>
      </c>
      <c r="E43" s="1511"/>
      <c r="F43" s="884">
        <v>5.0999999999999943</v>
      </c>
      <c r="G43" s="1511"/>
      <c r="H43" s="884">
        <v>61.3</v>
      </c>
      <c r="I43" s="1511"/>
      <c r="J43" s="3822">
        <v>93.499999999999986</v>
      </c>
      <c r="K43" s="1517"/>
      <c r="L43" s="3822">
        <v>20.100000000000023</v>
      </c>
      <c r="M43" s="1517"/>
      <c r="N43" s="3822">
        <v>29.700000000000003</v>
      </c>
      <c r="O43" s="1517"/>
      <c r="P43" s="3822">
        <v>92.200000000000031</v>
      </c>
      <c r="Q43" s="1977"/>
      <c r="R43" s="1768">
        <v>3.7999999999999545</v>
      </c>
      <c r="S43" s="1977"/>
      <c r="T43" s="3822">
        <v>170.20000000000005</v>
      </c>
      <c r="U43" s="1977"/>
      <c r="V43" s="3822">
        <f t="shared" ref="V43:V46" si="7">$AD43-$D43-$F43-$H43-$J43-$L43-$N43-$P43-$R43-$T43</f>
        <v>34.399999999999977</v>
      </c>
      <c r="W43" s="1977"/>
      <c r="X43" s="1768"/>
      <c r="Y43" s="1977"/>
      <c r="Z43" s="1768"/>
      <c r="AA43" s="1978"/>
      <c r="AB43" s="1979"/>
      <c r="AC43" s="1981"/>
      <c r="AD43" s="1768">
        <v>574</v>
      </c>
      <c r="AE43" s="2011"/>
      <c r="AF43" s="3114"/>
      <c r="AG43" s="1768">
        <v>557.1</v>
      </c>
      <c r="AH43" s="1061"/>
      <c r="AI43" s="64"/>
      <c r="AJ43" s="883">
        <f>ROUND(SUM(+AD43-AG43),1)</f>
        <v>16.899999999999999</v>
      </c>
      <c r="AK43" s="883"/>
      <c r="AL43" s="1797">
        <f>ROUND(IF(AG43=0,0,AJ43/ABS(AG43)),3)</f>
        <v>0.03</v>
      </c>
      <c r="AM43" s="1798"/>
    </row>
    <row r="44" spans="1:39" s="875" customFormat="1" ht="15" customHeight="1">
      <c r="A44" s="1058"/>
      <c r="B44" s="880" t="s">
        <v>964</v>
      </c>
      <c r="C44" s="104"/>
      <c r="D44" s="884">
        <v>482.7</v>
      </c>
      <c r="E44" s="1511"/>
      <c r="F44" s="884">
        <v>530.09999999999991</v>
      </c>
      <c r="G44" s="1511"/>
      <c r="H44" s="884">
        <v>540.70000000000005</v>
      </c>
      <c r="I44" s="1511"/>
      <c r="J44" s="3822">
        <v>526.30000000000018</v>
      </c>
      <c r="K44" s="1517"/>
      <c r="L44" s="3822">
        <v>529.99999999999977</v>
      </c>
      <c r="M44" s="1517"/>
      <c r="N44" s="3822">
        <v>527.70000000000027</v>
      </c>
      <c r="O44" s="1517"/>
      <c r="P44" s="3822">
        <v>514.69999999999959</v>
      </c>
      <c r="Q44" s="1977"/>
      <c r="R44" s="1768">
        <v>525.10000000000036</v>
      </c>
      <c r="S44" s="1977"/>
      <c r="T44" s="3822">
        <v>551.59999999999923</v>
      </c>
      <c r="U44" s="1977"/>
      <c r="V44" s="3822">
        <f t="shared" si="7"/>
        <v>503.40000000000055</v>
      </c>
      <c r="W44" s="1977"/>
      <c r="X44" s="1768"/>
      <c r="Y44" s="1977"/>
      <c r="Z44" s="1768"/>
      <c r="AA44" s="1978"/>
      <c r="AB44" s="1979"/>
      <c r="AC44" s="1981"/>
      <c r="AD44" s="1768">
        <v>5232.3</v>
      </c>
      <c r="AE44" s="2011"/>
      <c r="AF44" s="3114"/>
      <c r="AG44" s="1768">
        <v>4890</v>
      </c>
      <c r="AH44" s="1061"/>
      <c r="AI44" s="64"/>
      <c r="AJ44" s="883">
        <f>ROUND(SUM(+AD44-AG44),1)</f>
        <v>342.3</v>
      </c>
      <c r="AK44" s="883"/>
      <c r="AL44" s="1797">
        <f>ROUND(IF(AG44=0,0,AJ44/ABS(AG44)),3)</f>
        <v>7.0000000000000007E-2</v>
      </c>
      <c r="AM44" s="1798"/>
    </row>
    <row r="45" spans="1:39" ht="15" customHeight="1">
      <c r="A45" s="147"/>
      <c r="B45" s="880" t="s">
        <v>965</v>
      </c>
      <c r="C45" s="28"/>
      <c r="D45" s="884">
        <v>1.5</v>
      </c>
      <c r="E45" s="1511"/>
      <c r="F45" s="884">
        <v>0</v>
      </c>
      <c r="G45" s="1511"/>
      <c r="H45" s="884">
        <v>0.70000000000000018</v>
      </c>
      <c r="I45" s="1511"/>
      <c r="J45" s="3822">
        <v>0</v>
      </c>
      <c r="K45" s="1517"/>
      <c r="L45" s="3822">
        <v>9.9999999999999645E-2</v>
      </c>
      <c r="M45" s="1517"/>
      <c r="N45" s="3822">
        <v>44.4</v>
      </c>
      <c r="O45" s="1517"/>
      <c r="P45" s="3822">
        <v>-0.70000000000000284</v>
      </c>
      <c r="Q45" s="1977"/>
      <c r="R45" s="1768">
        <v>-12.199999999999996</v>
      </c>
      <c r="S45" s="1977"/>
      <c r="T45" s="3822">
        <v>0.79999999999999716</v>
      </c>
      <c r="U45" s="1977"/>
      <c r="V45" s="3822">
        <f t="shared" si="7"/>
        <v>-0.10000000000000142</v>
      </c>
      <c r="W45" s="1977"/>
      <c r="X45" s="1768"/>
      <c r="Y45" s="1977"/>
      <c r="Z45" s="1768"/>
      <c r="AA45" s="1978"/>
      <c r="AB45" s="1979"/>
      <c r="AC45" s="1981"/>
      <c r="AD45" s="1768">
        <v>34.5</v>
      </c>
      <c r="AE45" s="2011"/>
      <c r="AF45" s="3114"/>
      <c r="AG45" s="1768">
        <v>39.700000000000003</v>
      </c>
      <c r="AH45" s="272"/>
      <c r="AI45" s="53"/>
      <c r="AJ45" s="634">
        <f>ROUND(SUM(+AD45-AG45),1)</f>
        <v>-5.2</v>
      </c>
      <c r="AK45" s="634"/>
      <c r="AL45" s="3579">
        <f>ROUND(IF(AG45=0,0,AJ45/ABS(AG45)),3)</f>
        <v>-0.13100000000000001</v>
      </c>
      <c r="AM45" s="773"/>
    </row>
    <row r="46" spans="1:39" ht="15" customHeight="1">
      <c r="A46" s="147"/>
      <c r="B46" s="880" t="s">
        <v>966</v>
      </c>
      <c r="C46" s="28"/>
      <c r="D46" s="884">
        <v>0</v>
      </c>
      <c r="E46" s="1511"/>
      <c r="F46" s="884">
        <v>0</v>
      </c>
      <c r="G46" s="1511"/>
      <c r="H46" s="884">
        <v>0</v>
      </c>
      <c r="I46" s="1511"/>
      <c r="J46" s="3822">
        <v>0</v>
      </c>
      <c r="K46" s="1517"/>
      <c r="L46" s="3822">
        <v>0</v>
      </c>
      <c r="M46" s="1517"/>
      <c r="N46" s="3822">
        <v>0.1</v>
      </c>
      <c r="O46" s="1517"/>
      <c r="P46" s="3822">
        <v>0</v>
      </c>
      <c r="Q46" s="1977"/>
      <c r="R46" s="1768">
        <v>0.30000000000000004</v>
      </c>
      <c r="S46" s="1977"/>
      <c r="T46" s="3822">
        <v>-0.30000000000000004</v>
      </c>
      <c r="U46" s="1977"/>
      <c r="V46" s="3822">
        <f t="shared" si="7"/>
        <v>-0.8</v>
      </c>
      <c r="W46" s="1977"/>
      <c r="X46" s="1768"/>
      <c r="Y46" s="1977"/>
      <c r="Z46" s="1768"/>
      <c r="AA46" s="1978"/>
      <c r="AB46" s="1979"/>
      <c r="AC46" s="1981"/>
      <c r="AD46" s="1768">
        <v>-0.7</v>
      </c>
      <c r="AE46" s="2011"/>
      <c r="AF46" s="3114"/>
      <c r="AG46" s="1768">
        <v>0</v>
      </c>
      <c r="AH46" s="272"/>
      <c r="AI46" s="53"/>
      <c r="AJ46" s="634">
        <f>ROUND(SUM(+AD46-AG46),1)</f>
        <v>-0.7</v>
      </c>
      <c r="AK46" s="634"/>
      <c r="AL46" s="1416">
        <f>-ROUND(IF(AG46=0,1,AJ46/ABS(AG46)),3)</f>
        <v>-1</v>
      </c>
      <c r="AM46" s="773"/>
    </row>
    <row r="47" spans="1:39" s="875" customFormat="1" ht="15" customHeight="1">
      <c r="A47" s="1058"/>
      <c r="B47" s="880" t="s">
        <v>1049</v>
      </c>
      <c r="C47" s="104"/>
      <c r="D47" s="884" t="s">
        <v>14</v>
      </c>
      <c r="E47" s="1511"/>
      <c r="F47" s="884"/>
      <c r="G47" s="1511"/>
      <c r="H47" s="884"/>
      <c r="I47" s="1511"/>
      <c r="J47" s="884"/>
      <c r="K47" s="115"/>
      <c r="L47" s="3822"/>
      <c r="M47" s="115"/>
      <c r="N47" s="884"/>
      <c r="O47" s="115"/>
      <c r="P47" s="3822"/>
      <c r="Q47" s="1974"/>
      <c r="R47" s="1768"/>
      <c r="S47" s="1974"/>
      <c r="T47" s="1768"/>
      <c r="U47" s="1974"/>
      <c r="V47" s="1768"/>
      <c r="W47" s="1974"/>
      <c r="X47" s="1768"/>
      <c r="Y47" s="1974"/>
      <c r="Z47" s="1768"/>
      <c r="AA47" s="1973"/>
      <c r="AB47" s="1974"/>
      <c r="AC47" s="2018"/>
      <c r="AD47" s="3106"/>
      <c r="AE47" s="1974"/>
      <c r="AF47" s="1976"/>
      <c r="AG47" s="3106"/>
      <c r="AH47" s="1061"/>
      <c r="AI47" s="64"/>
      <c r="AJ47" s="883"/>
      <c r="AK47" s="883"/>
      <c r="AL47" s="1797"/>
      <c r="AM47" s="1798"/>
    </row>
    <row r="48" spans="1:39" s="875" customFormat="1" ht="15" customHeight="1">
      <c r="A48" s="1058"/>
      <c r="B48" s="880" t="s">
        <v>1139</v>
      </c>
      <c r="C48" s="104"/>
      <c r="D48" s="884">
        <v>0</v>
      </c>
      <c r="E48" s="1511"/>
      <c r="F48" s="884">
        <v>0</v>
      </c>
      <c r="G48" s="1511"/>
      <c r="H48" s="884">
        <v>0</v>
      </c>
      <c r="I48" s="1511"/>
      <c r="J48" s="3822">
        <v>0.7</v>
      </c>
      <c r="K48" s="1517"/>
      <c r="L48" s="3822">
        <v>1.5000000000000002</v>
      </c>
      <c r="M48" s="1517"/>
      <c r="N48" s="3822">
        <v>9.9999999999999645E-2</v>
      </c>
      <c r="O48" s="1517"/>
      <c r="P48" s="3822">
        <v>0</v>
      </c>
      <c r="Q48" s="1977"/>
      <c r="R48" s="1768">
        <v>0</v>
      </c>
      <c r="S48" s="1977"/>
      <c r="T48" s="3822">
        <v>0.20000000000000018</v>
      </c>
      <c r="U48" s="1977"/>
      <c r="V48" s="3822">
        <f t="shared" ref="V48:V54" si="8">$AD48-$D48-$F48-$H48-$J48-$L48-$N48-$P48-$R48-$T48</f>
        <v>0</v>
      </c>
      <c r="W48" s="1977"/>
      <c r="X48" s="1768"/>
      <c r="Y48" s="1977"/>
      <c r="Z48" s="1768"/>
      <c r="AA48" s="1978"/>
      <c r="AB48" s="1979"/>
      <c r="AC48" s="1981"/>
      <c r="AD48" s="1768">
        <v>2.5</v>
      </c>
      <c r="AE48" s="2011"/>
      <c r="AF48" s="3114"/>
      <c r="AG48" s="1768">
        <v>2.2000000000000002</v>
      </c>
      <c r="AH48" s="1061"/>
      <c r="AI48" s="64"/>
      <c r="AJ48" s="883">
        <f t="shared" ref="AJ48:AJ54" si="9">ROUND(SUM(+AD48-AG48),1)</f>
        <v>0.3</v>
      </c>
      <c r="AK48" s="883"/>
      <c r="AL48" s="1703">
        <f>ROUND(IF(AG48=0,0,AJ48/ABS(AG48)),3)</f>
        <v>0.13600000000000001</v>
      </c>
      <c r="AM48" s="1798"/>
    </row>
    <row r="49" spans="1:39" s="875" customFormat="1" ht="15" customHeight="1">
      <c r="A49" s="1058"/>
      <c r="B49" s="880" t="s">
        <v>967</v>
      </c>
      <c r="C49" s="104"/>
      <c r="D49" s="884">
        <v>38.6</v>
      </c>
      <c r="E49" s="1511"/>
      <c r="F49" s="884">
        <v>26.699999999999996</v>
      </c>
      <c r="G49" s="1511"/>
      <c r="H49" s="884">
        <v>91.100000000000023</v>
      </c>
      <c r="I49" s="1511"/>
      <c r="J49" s="3822">
        <v>38.599999999999994</v>
      </c>
      <c r="K49" s="1517"/>
      <c r="L49" s="3822">
        <v>52.5</v>
      </c>
      <c r="M49" s="1517"/>
      <c r="N49" s="3822">
        <v>95.6</v>
      </c>
      <c r="O49" s="1517"/>
      <c r="P49" s="3822">
        <v>38.699999999999989</v>
      </c>
      <c r="Q49" s="1977"/>
      <c r="R49" s="1768">
        <v>50</v>
      </c>
      <c r="S49" s="1977"/>
      <c r="T49" s="3822">
        <v>81.999999999999972</v>
      </c>
      <c r="U49" s="1977"/>
      <c r="V49" s="3822">
        <f t="shared" si="8"/>
        <v>67.599999999999909</v>
      </c>
      <c r="W49" s="1977"/>
      <c r="X49" s="1768"/>
      <c r="Y49" s="1977"/>
      <c r="Z49" s="1768"/>
      <c r="AA49" s="1978"/>
      <c r="AB49" s="1979"/>
      <c r="AC49" s="1981"/>
      <c r="AD49" s="1768">
        <v>581.4</v>
      </c>
      <c r="AE49" s="2011"/>
      <c r="AF49" s="3114"/>
      <c r="AG49" s="1768">
        <v>585.1</v>
      </c>
      <c r="AH49" s="1061"/>
      <c r="AI49" s="64"/>
      <c r="AJ49" s="883">
        <f t="shared" si="9"/>
        <v>-3.7</v>
      </c>
      <c r="AK49" s="883"/>
      <c r="AL49" s="1797">
        <f t="shared" ref="AL49:AL54" si="10">ROUND(IF(AG49=0,0,AJ49/ABS(AG49)),3)</f>
        <v>-6.0000000000000001E-3</v>
      </c>
      <c r="AM49" s="1798"/>
    </row>
    <row r="50" spans="1:39" s="875" customFormat="1" ht="15" customHeight="1">
      <c r="A50" s="1058"/>
      <c r="B50" s="880" t="s">
        <v>968</v>
      </c>
      <c r="C50" s="104"/>
      <c r="D50" s="884">
        <v>5.0999999999999996</v>
      </c>
      <c r="E50" s="1511"/>
      <c r="F50" s="884">
        <v>5.4</v>
      </c>
      <c r="G50" s="1511"/>
      <c r="H50" s="884">
        <v>5</v>
      </c>
      <c r="I50" s="1511"/>
      <c r="J50" s="3822">
        <v>4</v>
      </c>
      <c r="K50" s="1517"/>
      <c r="L50" s="3822">
        <v>6.4999999999999982</v>
      </c>
      <c r="M50" s="1517"/>
      <c r="N50" s="3822">
        <v>5.7000000000000046</v>
      </c>
      <c r="O50" s="1517"/>
      <c r="P50" s="3822">
        <v>5.7999999999999972</v>
      </c>
      <c r="Q50" s="1977"/>
      <c r="R50" s="1768">
        <v>4.7999999999999954</v>
      </c>
      <c r="S50" s="1977"/>
      <c r="T50" s="3822">
        <v>6.0000000000000018</v>
      </c>
      <c r="U50" s="1977"/>
      <c r="V50" s="3822">
        <f t="shared" si="8"/>
        <v>4.3000000000000043</v>
      </c>
      <c r="W50" s="1977"/>
      <c r="X50" s="1768"/>
      <c r="Y50" s="1977"/>
      <c r="Z50" s="1768"/>
      <c r="AA50" s="1978"/>
      <c r="AB50" s="1979"/>
      <c r="AC50" s="1981"/>
      <c r="AD50" s="1768">
        <v>52.6</v>
      </c>
      <c r="AE50" s="2011"/>
      <c r="AF50" s="3114"/>
      <c r="AG50" s="1768">
        <v>39.4</v>
      </c>
      <c r="AH50" s="1061"/>
      <c r="AI50" s="64"/>
      <c r="AJ50" s="883">
        <f t="shared" si="9"/>
        <v>13.2</v>
      </c>
      <c r="AK50" s="883"/>
      <c r="AL50" s="1797">
        <f t="shared" si="10"/>
        <v>0.33500000000000002</v>
      </c>
      <c r="AM50" s="1798"/>
    </row>
    <row r="51" spans="1:39" s="875" customFormat="1" ht="15" customHeight="1">
      <c r="A51" s="1058"/>
      <c r="B51" s="880" t="s">
        <v>969</v>
      </c>
      <c r="C51" s="104"/>
      <c r="D51" s="884">
        <v>0.9</v>
      </c>
      <c r="E51" s="1511"/>
      <c r="F51" s="884">
        <v>0.20000000000000007</v>
      </c>
      <c r="G51" s="1511"/>
      <c r="H51" s="884">
        <v>0.79999999999999982</v>
      </c>
      <c r="I51" s="1511"/>
      <c r="J51" s="3822">
        <v>0.20000000000000018</v>
      </c>
      <c r="K51" s="1517"/>
      <c r="L51" s="3822">
        <v>0.39999999999999991</v>
      </c>
      <c r="M51" s="1517"/>
      <c r="N51" s="3822">
        <v>0.10000000000000009</v>
      </c>
      <c r="O51" s="1517"/>
      <c r="P51" s="3822">
        <v>0.29999999999999982</v>
      </c>
      <c r="Q51" s="1977"/>
      <c r="R51" s="1768">
        <v>0.39999999999999991</v>
      </c>
      <c r="S51" s="1977"/>
      <c r="T51" s="3822">
        <v>0</v>
      </c>
      <c r="U51" s="1977"/>
      <c r="V51" s="3822">
        <f t="shared" si="8"/>
        <v>1.9999999999999996</v>
      </c>
      <c r="W51" s="1977"/>
      <c r="X51" s="1768"/>
      <c r="Y51" s="1977"/>
      <c r="Z51" s="1768"/>
      <c r="AA51" s="1978"/>
      <c r="AB51" s="1979"/>
      <c r="AC51" s="1981"/>
      <c r="AD51" s="1768">
        <v>5.3</v>
      </c>
      <c r="AE51" s="2011"/>
      <c r="AF51" s="3114"/>
      <c r="AG51" s="1768">
        <v>3.5</v>
      </c>
      <c r="AH51" s="1061"/>
      <c r="AI51" s="64"/>
      <c r="AJ51" s="883">
        <f t="shared" si="9"/>
        <v>1.8</v>
      </c>
      <c r="AK51" s="883"/>
      <c r="AL51" s="1797">
        <f>ROUND(IF(AG51=0,1,AJ51/ABS(AG51)),3)</f>
        <v>0.51400000000000001</v>
      </c>
      <c r="AM51" s="1798"/>
    </row>
    <row r="52" spans="1:39" s="875" customFormat="1" ht="15" customHeight="1">
      <c r="A52" s="1058"/>
      <c r="B52" s="880" t="s">
        <v>970</v>
      </c>
      <c r="C52" s="104"/>
      <c r="D52" s="884">
        <v>29.6</v>
      </c>
      <c r="E52" s="1511"/>
      <c r="F52" s="884">
        <v>27.799999999999997</v>
      </c>
      <c r="G52" s="1511"/>
      <c r="H52" s="884">
        <v>24.300000000000004</v>
      </c>
      <c r="I52" s="1511"/>
      <c r="J52" s="3822">
        <v>16.899999999999999</v>
      </c>
      <c r="K52" s="1517"/>
      <c r="L52" s="3822">
        <v>29.599999999999994</v>
      </c>
      <c r="M52" s="1517"/>
      <c r="N52" s="3822">
        <v>41.900000000000006</v>
      </c>
      <c r="O52" s="1517"/>
      <c r="P52" s="3822">
        <v>14.300000000000011</v>
      </c>
      <c r="Q52" s="1977"/>
      <c r="R52" s="1768">
        <v>31.900000000000006</v>
      </c>
      <c r="S52" s="1977"/>
      <c r="T52" s="3822">
        <v>21.299999999999955</v>
      </c>
      <c r="U52" s="1977"/>
      <c r="V52" s="3822">
        <f t="shared" si="8"/>
        <v>28.700000000000045</v>
      </c>
      <c r="W52" s="1977"/>
      <c r="X52" s="1768"/>
      <c r="Y52" s="1977"/>
      <c r="Z52" s="1768"/>
      <c r="AA52" s="1978"/>
      <c r="AB52" s="1979"/>
      <c r="AC52" s="1981"/>
      <c r="AD52" s="1768">
        <v>266.3</v>
      </c>
      <c r="AE52" s="2011"/>
      <c r="AF52" s="3114"/>
      <c r="AG52" s="1768">
        <v>234.7</v>
      </c>
      <c r="AH52" s="1061"/>
      <c r="AI52" s="64"/>
      <c r="AJ52" s="883">
        <f t="shared" si="9"/>
        <v>31.6</v>
      </c>
      <c r="AK52" s="883"/>
      <c r="AL52" s="1797">
        <f t="shared" si="10"/>
        <v>0.13500000000000001</v>
      </c>
      <c r="AM52" s="1798"/>
    </row>
    <row r="53" spans="1:39" s="875" customFormat="1" ht="15" customHeight="1">
      <c r="A53" s="1058"/>
      <c r="B53" s="880" t="s">
        <v>971</v>
      </c>
      <c r="C53" s="104"/>
      <c r="D53" s="884">
        <v>65.7</v>
      </c>
      <c r="E53" s="1511"/>
      <c r="F53" s="884">
        <v>49.599999999999994</v>
      </c>
      <c r="G53" s="1511"/>
      <c r="H53" s="884">
        <v>83.000000000000028</v>
      </c>
      <c r="I53" s="1511"/>
      <c r="J53" s="3822">
        <v>56.5</v>
      </c>
      <c r="K53" s="1517"/>
      <c r="L53" s="3822">
        <v>89.899999999999977</v>
      </c>
      <c r="M53" s="1517"/>
      <c r="N53" s="3822">
        <v>143.10000000000002</v>
      </c>
      <c r="O53" s="1517"/>
      <c r="P53" s="3822">
        <v>72.900000000000091</v>
      </c>
      <c r="Q53" s="1977"/>
      <c r="R53" s="1768">
        <v>124.19999999999982</v>
      </c>
      <c r="S53" s="1977"/>
      <c r="T53" s="3822">
        <v>55.399999999999977</v>
      </c>
      <c r="U53" s="1977"/>
      <c r="V53" s="3822">
        <f t="shared" si="8"/>
        <v>73.200000000000045</v>
      </c>
      <c r="W53" s="1977"/>
      <c r="X53" s="1768"/>
      <c r="Y53" s="1977"/>
      <c r="Z53" s="1768"/>
      <c r="AA53" s="1978"/>
      <c r="AB53" s="1979"/>
      <c r="AC53" s="1981"/>
      <c r="AD53" s="1768">
        <v>813.5</v>
      </c>
      <c r="AE53" s="2011"/>
      <c r="AF53" s="3114"/>
      <c r="AG53" s="1768">
        <v>532.79999999999995</v>
      </c>
      <c r="AH53" s="1061"/>
      <c r="AI53" s="64"/>
      <c r="AJ53" s="883">
        <f t="shared" si="9"/>
        <v>280.7</v>
      </c>
      <c r="AK53" s="883"/>
      <c r="AL53" s="1797">
        <f t="shared" si="10"/>
        <v>0.52700000000000002</v>
      </c>
      <c r="AM53" s="1798"/>
    </row>
    <row r="54" spans="1:39" s="875" customFormat="1" ht="15" customHeight="1">
      <c r="A54" s="1058"/>
      <c r="B54" s="880" t="s">
        <v>930</v>
      </c>
      <c r="C54" s="104"/>
      <c r="D54" s="884">
        <v>6.1</v>
      </c>
      <c r="E54" s="1511"/>
      <c r="F54" s="884">
        <v>8.7000000000000011</v>
      </c>
      <c r="G54" s="1511"/>
      <c r="H54" s="884">
        <v>11.9</v>
      </c>
      <c r="I54" s="1511"/>
      <c r="J54" s="3822">
        <v>5.7999999999999954</v>
      </c>
      <c r="K54" s="1517"/>
      <c r="L54" s="3822">
        <v>11.000000000000002</v>
      </c>
      <c r="M54" s="1517"/>
      <c r="N54" s="3822">
        <v>5.9999999999999982</v>
      </c>
      <c r="O54" s="1517"/>
      <c r="P54" s="3822">
        <v>12.299999999999999</v>
      </c>
      <c r="Q54" s="1977"/>
      <c r="R54" s="1768">
        <v>9.5000000000000053</v>
      </c>
      <c r="S54" s="1977"/>
      <c r="T54" s="3822">
        <v>5.2000000000000028</v>
      </c>
      <c r="U54" s="1977"/>
      <c r="V54" s="3822">
        <f t="shared" si="8"/>
        <v>12.5</v>
      </c>
      <c r="W54" s="1977"/>
      <c r="X54" s="1768"/>
      <c r="Y54" s="1977"/>
      <c r="Z54" s="1768"/>
      <c r="AA54" s="1978"/>
      <c r="AB54" s="1979"/>
      <c r="AC54" s="1981"/>
      <c r="AD54" s="1768">
        <v>89</v>
      </c>
      <c r="AE54" s="2011"/>
      <c r="AF54" s="3114"/>
      <c r="AG54" s="1768">
        <v>112.5</v>
      </c>
      <c r="AH54" s="1061"/>
      <c r="AI54" s="64"/>
      <c r="AJ54" s="883">
        <f t="shared" si="9"/>
        <v>-23.5</v>
      </c>
      <c r="AK54" s="883"/>
      <c r="AL54" s="1708">
        <f t="shared" si="10"/>
        <v>-0.20899999999999999</v>
      </c>
      <c r="AM54" s="1798"/>
    </row>
    <row r="55" spans="1:39" s="875" customFormat="1" ht="15" customHeight="1">
      <c r="A55" s="1058"/>
      <c r="B55" s="880" t="s">
        <v>1046</v>
      </c>
      <c r="C55" s="104"/>
      <c r="D55" s="884" t="s">
        <v>14</v>
      </c>
      <c r="E55" s="1511"/>
      <c r="F55" s="884"/>
      <c r="G55" s="1511"/>
      <c r="H55" s="884"/>
      <c r="I55" s="1511"/>
      <c r="J55" s="884"/>
      <c r="K55" s="115"/>
      <c r="L55" s="3822"/>
      <c r="M55" s="115"/>
      <c r="N55" s="884"/>
      <c r="O55" s="115"/>
      <c r="P55" s="3822"/>
      <c r="Q55" s="1974"/>
      <c r="R55" s="1768"/>
      <c r="S55" s="1974"/>
      <c r="T55" s="1768"/>
      <c r="U55" s="1974"/>
      <c r="V55" s="1768"/>
      <c r="W55" s="1974"/>
      <c r="X55" s="1768"/>
      <c r="Y55" s="1974"/>
      <c r="Z55" s="1768"/>
      <c r="AA55" s="1973"/>
      <c r="AB55" s="1974"/>
      <c r="AC55" s="2018"/>
      <c r="AD55" s="1974"/>
      <c r="AE55" s="1974"/>
      <c r="AF55" s="1976"/>
      <c r="AG55" s="1974"/>
      <c r="AH55" s="1061"/>
      <c r="AI55" s="64"/>
      <c r="AJ55" s="883"/>
      <c r="AK55" s="883"/>
      <c r="AL55" s="1797"/>
      <c r="AM55" s="1798"/>
    </row>
    <row r="56" spans="1:39" s="875" customFormat="1" ht="15" customHeight="1">
      <c r="A56" s="1058"/>
      <c r="B56" s="880" t="s">
        <v>972</v>
      </c>
      <c r="C56" s="104"/>
      <c r="D56" s="884">
        <v>34.200000000000003</v>
      </c>
      <c r="E56" s="1511"/>
      <c r="F56" s="884">
        <v>14.199999999999996</v>
      </c>
      <c r="G56" s="1511"/>
      <c r="H56" s="884">
        <v>17.100000000000001</v>
      </c>
      <c r="I56" s="1511"/>
      <c r="J56" s="3822">
        <v>35.700000000000003</v>
      </c>
      <c r="K56" s="1517"/>
      <c r="L56" s="3822">
        <v>15.199999999999996</v>
      </c>
      <c r="M56" s="1517"/>
      <c r="N56" s="3822">
        <v>19.29999999999999</v>
      </c>
      <c r="O56" s="1517"/>
      <c r="P56" s="3822">
        <v>35.500000000000028</v>
      </c>
      <c r="Q56" s="1977"/>
      <c r="R56" s="1768">
        <v>10.199999999999982</v>
      </c>
      <c r="S56" s="1977"/>
      <c r="T56" s="3822">
        <v>16.900000000000034</v>
      </c>
      <c r="U56" s="1977"/>
      <c r="V56" s="3822">
        <f t="shared" ref="V56:V61" si="11">$AD56-$D56-$F56-$H56-$J56-$L56-$N56-$P56-$R56-$T56</f>
        <v>29.799999999999962</v>
      </c>
      <c r="W56" s="1977"/>
      <c r="X56" s="1768"/>
      <c r="Y56" s="1977"/>
      <c r="Z56" s="1768"/>
      <c r="AA56" s="1978"/>
      <c r="AB56" s="1979"/>
      <c r="AC56" s="1981"/>
      <c r="AD56" s="1768">
        <v>228.1</v>
      </c>
      <c r="AE56" s="2011"/>
      <c r="AF56" s="3114"/>
      <c r="AG56" s="1768">
        <v>109.5</v>
      </c>
      <c r="AH56" s="1061"/>
      <c r="AI56" s="64"/>
      <c r="AJ56" s="883">
        <f t="shared" ref="AJ56:AJ61" si="12">ROUND(SUM(+AD56-AG56),1)</f>
        <v>118.6</v>
      </c>
      <c r="AK56" s="883"/>
      <c r="AL56" s="1708">
        <f>ROUND(IF(AG56=0,1,AJ56/ABS(AG56)),3)</f>
        <v>1.083</v>
      </c>
      <c r="AM56" s="1798"/>
    </row>
    <row r="57" spans="1:39" s="875" customFormat="1" ht="15" customHeight="1">
      <c r="A57" s="1058"/>
      <c r="B57" s="880" t="s">
        <v>1553</v>
      </c>
      <c r="C57" s="104"/>
      <c r="D57" s="884">
        <v>199.5</v>
      </c>
      <c r="E57" s="1511"/>
      <c r="F57" s="884">
        <v>213.5</v>
      </c>
      <c r="G57" s="1511"/>
      <c r="H57" s="884">
        <v>238.89999999999998</v>
      </c>
      <c r="I57" s="1511"/>
      <c r="J57" s="3822">
        <v>181.89999999999998</v>
      </c>
      <c r="K57" s="1517"/>
      <c r="L57" s="3822">
        <v>186.80000000000007</v>
      </c>
      <c r="M57" s="1517"/>
      <c r="N57" s="3822">
        <v>240.89999999999998</v>
      </c>
      <c r="O57" s="1517"/>
      <c r="P57" s="3822">
        <v>192.40000000000009</v>
      </c>
      <c r="Q57" s="1977"/>
      <c r="R57" s="1768">
        <f>353.2-150</f>
        <v>203.2</v>
      </c>
      <c r="S57" s="1977"/>
      <c r="T57" s="3822">
        <v>225.39999999999969</v>
      </c>
      <c r="U57" s="1977"/>
      <c r="V57" s="3822">
        <f t="shared" si="11"/>
        <v>193.99999999999989</v>
      </c>
      <c r="W57" s="1977"/>
      <c r="X57" s="1768"/>
      <c r="Y57" s="1977"/>
      <c r="Z57" s="1768"/>
      <c r="AA57" s="1978"/>
      <c r="AB57" s="1979"/>
      <c r="AC57" s="1981"/>
      <c r="AD57" s="1768">
        <v>2076.5</v>
      </c>
      <c r="AE57" s="2011"/>
      <c r="AF57" s="3114"/>
      <c r="AG57" s="1768">
        <v>1881.7</v>
      </c>
      <c r="AH57" s="1061"/>
      <c r="AI57" s="64"/>
      <c r="AJ57" s="883">
        <f t="shared" si="12"/>
        <v>194.8</v>
      </c>
      <c r="AK57" s="883"/>
      <c r="AL57" s="1708">
        <f>ROUND(IF(AG57=0,1,AJ57/ABS(AG57)),3)</f>
        <v>0.104</v>
      </c>
      <c r="AM57" s="1798"/>
    </row>
    <row r="58" spans="1:39" s="875" customFormat="1" ht="15" customHeight="1">
      <c r="A58" s="1058"/>
      <c r="B58" s="880" t="s">
        <v>1543</v>
      </c>
      <c r="C58" s="104"/>
      <c r="D58" s="884">
        <v>0</v>
      </c>
      <c r="E58" s="1511"/>
      <c r="F58" s="884">
        <v>0</v>
      </c>
      <c r="G58" s="1511"/>
      <c r="H58" s="884">
        <v>0</v>
      </c>
      <c r="I58" s="1511"/>
      <c r="J58" s="3822">
        <v>0</v>
      </c>
      <c r="K58" s="1517"/>
      <c r="L58" s="3822">
        <v>0</v>
      </c>
      <c r="M58" s="1517"/>
      <c r="N58" s="3822">
        <v>0</v>
      </c>
      <c r="O58" s="1517"/>
      <c r="P58" s="3822">
        <v>0</v>
      </c>
      <c r="Q58" s="1977"/>
      <c r="R58" s="1768">
        <v>150</v>
      </c>
      <c r="S58" s="1977"/>
      <c r="T58" s="3822">
        <v>50</v>
      </c>
      <c r="U58" s="1977"/>
      <c r="V58" s="3822">
        <f t="shared" si="11"/>
        <v>46.599999999999994</v>
      </c>
      <c r="W58" s="1977"/>
      <c r="X58" s="1768"/>
      <c r="Y58" s="1977"/>
      <c r="Z58" s="1768"/>
      <c r="AA58" s="1978"/>
      <c r="AB58" s="1979"/>
      <c r="AC58" s="2027"/>
      <c r="AD58" s="1768">
        <v>246.6</v>
      </c>
      <c r="AE58" s="2011"/>
      <c r="AF58" s="3114"/>
      <c r="AG58" s="1768">
        <v>0</v>
      </c>
      <c r="AH58" s="1061"/>
      <c r="AI58" s="64"/>
      <c r="AJ58" s="883">
        <f t="shared" si="12"/>
        <v>246.6</v>
      </c>
      <c r="AK58" s="883"/>
      <c r="AL58" s="1797">
        <f>ROUND(IF(AG58=0,1,AJ58/ABS(AG58)),3)</f>
        <v>1</v>
      </c>
      <c r="AM58" s="1798"/>
    </row>
    <row r="59" spans="1:39" s="875" customFormat="1" ht="15" customHeight="1">
      <c r="A59" s="1058"/>
      <c r="B59" s="880" t="s">
        <v>973</v>
      </c>
      <c r="C59" s="104"/>
      <c r="D59" s="884">
        <v>75.900000000000006</v>
      </c>
      <c r="E59" s="1511"/>
      <c r="F59" s="884">
        <v>77.899999999999977</v>
      </c>
      <c r="G59" s="1511"/>
      <c r="H59" s="884">
        <v>101.9</v>
      </c>
      <c r="I59" s="1511"/>
      <c r="J59" s="3822">
        <v>82.400000000000063</v>
      </c>
      <c r="K59" s="1517"/>
      <c r="L59" s="3822">
        <v>81.5</v>
      </c>
      <c r="M59" s="1517"/>
      <c r="N59" s="3822">
        <v>99.200000000000074</v>
      </c>
      <c r="O59" s="1517"/>
      <c r="P59" s="3822">
        <v>76.899999999999949</v>
      </c>
      <c r="Q59" s="1977"/>
      <c r="R59" s="1768">
        <v>76.5</v>
      </c>
      <c r="S59" s="1977"/>
      <c r="T59" s="3822">
        <v>87.699999999999932</v>
      </c>
      <c r="U59" s="1977"/>
      <c r="V59" s="3822">
        <f t="shared" si="11"/>
        <v>69.800000000000097</v>
      </c>
      <c r="W59" s="1977"/>
      <c r="X59" s="1768"/>
      <c r="Y59" s="1977"/>
      <c r="Z59" s="1768"/>
      <c r="AA59" s="1978"/>
      <c r="AB59" s="1979"/>
      <c r="AC59" s="1981"/>
      <c r="AD59" s="1768">
        <v>829.7</v>
      </c>
      <c r="AE59" s="2011"/>
      <c r="AF59" s="3114"/>
      <c r="AG59" s="1768">
        <v>264.7</v>
      </c>
      <c r="AH59" s="1061"/>
      <c r="AI59" s="64"/>
      <c r="AJ59" s="883">
        <f t="shared" si="12"/>
        <v>565</v>
      </c>
      <c r="AK59" s="883"/>
      <c r="AL59" s="1808">
        <f>ROUND(IF(AG59=0,1,AJ59/ABS(AG59)),3)</f>
        <v>2.1339999999999999</v>
      </c>
      <c r="AM59" s="1798"/>
    </row>
    <row r="60" spans="1:39" ht="15" customHeight="1">
      <c r="A60" s="147"/>
      <c r="B60" s="880" t="s">
        <v>931</v>
      </c>
      <c r="C60" s="28"/>
      <c r="D60" s="884">
        <v>3.5</v>
      </c>
      <c r="E60" s="1511"/>
      <c r="F60" s="884">
        <v>3.2</v>
      </c>
      <c r="G60" s="1511"/>
      <c r="H60" s="884">
        <v>3.1000000000000005</v>
      </c>
      <c r="I60" s="1511"/>
      <c r="J60" s="3822">
        <v>3.1999999999999993</v>
      </c>
      <c r="K60" s="1517"/>
      <c r="L60" s="3822">
        <v>3.2</v>
      </c>
      <c r="M60" s="1517"/>
      <c r="N60" s="3822">
        <v>2.8</v>
      </c>
      <c r="O60" s="1517"/>
      <c r="P60" s="3822">
        <v>2.8999999999999986</v>
      </c>
      <c r="Q60" s="1977"/>
      <c r="R60" s="1768">
        <v>3.5000000000000009</v>
      </c>
      <c r="S60" s="1977"/>
      <c r="T60" s="3822">
        <v>2.700000000000002</v>
      </c>
      <c r="U60" s="1977"/>
      <c r="V60" s="3822">
        <f t="shared" si="11"/>
        <v>3.3999999999999986</v>
      </c>
      <c r="W60" s="1977"/>
      <c r="X60" s="1768"/>
      <c r="Y60" s="1977"/>
      <c r="Z60" s="1768"/>
      <c r="AA60" s="1978"/>
      <c r="AB60" s="1979"/>
      <c r="AC60" s="1981"/>
      <c r="AD60" s="1768">
        <v>31.5</v>
      </c>
      <c r="AE60" s="2011"/>
      <c r="AF60" s="3114"/>
      <c r="AG60" s="1768">
        <v>52.400000000000006</v>
      </c>
      <c r="AH60" s="272"/>
      <c r="AI60" s="53"/>
      <c r="AJ60" s="634">
        <f t="shared" si="12"/>
        <v>-20.9</v>
      </c>
      <c r="AK60" s="634"/>
      <c r="AL60" s="1416">
        <f>ROUND(IF(AG60=0,0,AJ60/ABS(AG60)),3)</f>
        <v>-0.39900000000000002</v>
      </c>
      <c r="AM60" s="773"/>
    </row>
    <row r="61" spans="1:39" s="875" customFormat="1" ht="15" customHeight="1">
      <c r="A61" s="1058"/>
      <c r="B61" s="880" t="s">
        <v>948</v>
      </c>
      <c r="C61" s="104"/>
      <c r="D61" s="884">
        <v>6.7</v>
      </c>
      <c r="E61" s="1511"/>
      <c r="F61" s="884">
        <v>1.8999999999999995</v>
      </c>
      <c r="G61" s="1511"/>
      <c r="H61" s="884">
        <v>4.9000000000000004</v>
      </c>
      <c r="I61" s="1511"/>
      <c r="J61" s="3822">
        <v>3.2000000000000011</v>
      </c>
      <c r="K61" s="1517"/>
      <c r="L61" s="3822">
        <v>1.4000000000000021</v>
      </c>
      <c r="M61" s="1517"/>
      <c r="N61" s="3822">
        <v>5.0999999999999979</v>
      </c>
      <c r="O61" s="1517"/>
      <c r="P61" s="3822">
        <v>3.4000000000000021</v>
      </c>
      <c r="Q61" s="1977"/>
      <c r="R61" s="1768">
        <v>1.1999999999999993</v>
      </c>
      <c r="S61" s="1977"/>
      <c r="T61" s="3822">
        <v>5.9999999999999929</v>
      </c>
      <c r="U61" s="1977"/>
      <c r="V61" s="3822">
        <f t="shared" si="11"/>
        <v>3.3000000000000043</v>
      </c>
      <c r="W61" s="1977"/>
      <c r="X61" s="1768"/>
      <c r="Y61" s="1977"/>
      <c r="Z61" s="1768"/>
      <c r="AA61" s="1978"/>
      <c r="AB61" s="1979"/>
      <c r="AC61" s="1981"/>
      <c r="AD61" s="1768">
        <v>37.1</v>
      </c>
      <c r="AE61" s="2011"/>
      <c r="AF61" s="3114"/>
      <c r="AG61" s="1768">
        <v>38.6</v>
      </c>
      <c r="AH61" s="1061"/>
      <c r="AI61" s="64"/>
      <c r="AJ61" s="883">
        <f t="shared" si="12"/>
        <v>-1.5</v>
      </c>
      <c r="AK61" s="883"/>
      <c r="AL61" s="1797">
        <f>ROUND(IF(AG61=0,0,AJ61/ABS(AG61)),3)</f>
        <v>-3.9E-2</v>
      </c>
      <c r="AM61" s="1798"/>
    </row>
    <row r="62" spans="1:39" s="875" customFormat="1" ht="15" customHeight="1">
      <c r="A62" s="1058"/>
      <c r="B62" s="880" t="s">
        <v>1047</v>
      </c>
      <c r="C62" s="104"/>
      <c r="D62" s="884" t="s">
        <v>14</v>
      </c>
      <c r="E62" s="1511"/>
      <c r="F62" s="884"/>
      <c r="G62" s="1511"/>
      <c r="H62" s="884"/>
      <c r="I62" s="1511"/>
      <c r="J62" s="884"/>
      <c r="K62" s="115"/>
      <c r="L62" s="3822"/>
      <c r="M62" s="115"/>
      <c r="N62" s="884"/>
      <c r="O62" s="115"/>
      <c r="P62" s="3822"/>
      <c r="Q62" s="1974"/>
      <c r="R62" s="1768"/>
      <c r="S62" s="1974"/>
      <c r="T62" s="1768"/>
      <c r="U62" s="1974"/>
      <c r="V62" s="1768"/>
      <c r="W62" s="1974"/>
      <c r="X62" s="1768"/>
      <c r="Y62" s="1974"/>
      <c r="Z62" s="1768"/>
      <c r="AA62" s="1973"/>
      <c r="AB62" s="1974"/>
      <c r="AC62" s="2018"/>
      <c r="AD62" s="1974"/>
      <c r="AE62" s="1974"/>
      <c r="AF62" s="1976"/>
      <c r="AG62" s="1974"/>
      <c r="AH62" s="1061"/>
      <c r="AI62" s="64"/>
      <c r="AJ62" s="883"/>
      <c r="AK62" s="883"/>
      <c r="AL62" s="1797"/>
      <c r="AM62" s="1798"/>
    </row>
    <row r="63" spans="1:39" s="875" customFormat="1" ht="15" customHeight="1">
      <c r="A63" s="1058"/>
      <c r="B63" s="880" t="s">
        <v>974</v>
      </c>
      <c r="C63" s="104"/>
      <c r="D63" s="884">
        <v>0</v>
      </c>
      <c r="E63" s="1511"/>
      <c r="F63" s="884">
        <v>0</v>
      </c>
      <c r="G63" s="1511"/>
      <c r="H63" s="884">
        <v>0</v>
      </c>
      <c r="I63" s="1511"/>
      <c r="J63" s="3822">
        <v>0</v>
      </c>
      <c r="K63" s="1517"/>
      <c r="L63" s="3822">
        <v>0</v>
      </c>
      <c r="M63" s="1517"/>
      <c r="N63" s="3822">
        <v>0</v>
      </c>
      <c r="O63" s="1517"/>
      <c r="P63" s="3822">
        <v>0</v>
      </c>
      <c r="Q63" s="1977"/>
      <c r="R63" s="1768">
        <v>0</v>
      </c>
      <c r="S63" s="1977"/>
      <c r="T63" s="3822">
        <v>0</v>
      </c>
      <c r="U63" s="1977"/>
      <c r="V63" s="3822">
        <f t="shared" ref="V63:V67" si="13">$AD63-$D63-$F63-$H63-$J63-$L63-$N63-$P63-$R63-$T63</f>
        <v>0</v>
      </c>
      <c r="W63" s="1977"/>
      <c r="X63" s="1768"/>
      <c r="Y63" s="1977"/>
      <c r="Z63" s="1768"/>
      <c r="AA63" s="1978"/>
      <c r="AB63" s="1979"/>
      <c r="AC63" s="1981"/>
      <c r="AD63" s="1768">
        <v>0</v>
      </c>
      <c r="AE63" s="2011"/>
      <c r="AF63" s="3114"/>
      <c r="AG63" s="1768">
        <v>0</v>
      </c>
      <c r="AH63" s="1061"/>
      <c r="AI63" s="64"/>
      <c r="AJ63" s="883">
        <f t="shared" ref="AJ63:AJ67" si="14">ROUND(SUM(+AD63-AG63),1)</f>
        <v>0</v>
      </c>
      <c r="AK63" s="883"/>
      <c r="AL63" s="1797">
        <f>ROUND(IF(AG63=0,0,AJ63/ABS(AG63)),3)</f>
        <v>0</v>
      </c>
      <c r="AM63" s="1798"/>
    </row>
    <row r="64" spans="1:39" s="875" customFormat="1" ht="15" customHeight="1">
      <c r="A64" s="1058"/>
      <c r="B64" s="880" t="s">
        <v>975</v>
      </c>
      <c r="C64" s="104"/>
      <c r="D64" s="884">
        <v>0</v>
      </c>
      <c r="E64" s="1511"/>
      <c r="F64" s="884">
        <v>0</v>
      </c>
      <c r="G64" s="1511"/>
      <c r="H64" s="884">
        <v>0</v>
      </c>
      <c r="I64" s="1511"/>
      <c r="J64" s="3822">
        <v>5.9</v>
      </c>
      <c r="K64" s="1517"/>
      <c r="L64" s="3822">
        <v>0</v>
      </c>
      <c r="M64" s="1517"/>
      <c r="N64" s="3822">
        <v>0</v>
      </c>
      <c r="O64" s="1517"/>
      <c r="P64" s="3822">
        <v>8.9</v>
      </c>
      <c r="Q64" s="1977"/>
      <c r="R64" s="1768">
        <v>2.6999999999999993</v>
      </c>
      <c r="S64" s="1977"/>
      <c r="T64" s="3822">
        <v>2.8000000000000007</v>
      </c>
      <c r="U64" s="1977"/>
      <c r="V64" s="3822">
        <f t="shared" si="13"/>
        <v>2.7000000000000011</v>
      </c>
      <c r="W64" s="1977"/>
      <c r="X64" s="1768"/>
      <c r="Y64" s="1977"/>
      <c r="Z64" s="1768"/>
      <c r="AA64" s="1978"/>
      <c r="AB64" s="1979"/>
      <c r="AC64" s="1981"/>
      <c r="AD64" s="1768">
        <v>23</v>
      </c>
      <c r="AE64" s="2011"/>
      <c r="AF64" s="3114"/>
      <c r="AG64" s="1768">
        <v>8.9</v>
      </c>
      <c r="AH64" s="1061"/>
      <c r="AI64" s="64"/>
      <c r="AJ64" s="883">
        <f t="shared" si="14"/>
        <v>14.1</v>
      </c>
      <c r="AK64" s="883"/>
      <c r="AL64" s="1797">
        <f>ROUND(IF(AG64=0,0,AJ64/ABS(AG64)),3)</f>
        <v>1.5840000000000001</v>
      </c>
      <c r="AM64" s="1798"/>
    </row>
    <row r="65" spans="1:39" s="875" customFormat="1" ht="15" customHeight="1">
      <c r="A65" s="1058"/>
      <c r="B65" s="880" t="s">
        <v>976</v>
      </c>
      <c r="C65" s="104"/>
      <c r="D65" s="884">
        <v>2.7</v>
      </c>
      <c r="E65" s="1511"/>
      <c r="F65" s="884">
        <v>2.2999999999999998</v>
      </c>
      <c r="G65" s="1511"/>
      <c r="H65" s="884">
        <v>1.7000000000000002</v>
      </c>
      <c r="I65" s="1511"/>
      <c r="J65" s="3822">
        <v>0.5</v>
      </c>
      <c r="K65" s="1517"/>
      <c r="L65" s="3822">
        <v>0</v>
      </c>
      <c r="M65" s="1517"/>
      <c r="N65" s="3822">
        <v>0</v>
      </c>
      <c r="O65" s="1517"/>
      <c r="P65" s="3822">
        <v>0</v>
      </c>
      <c r="Q65" s="1977"/>
      <c r="R65" s="1768">
        <v>0</v>
      </c>
      <c r="S65" s="1977"/>
      <c r="T65" s="3822">
        <v>0</v>
      </c>
      <c r="U65" s="1977"/>
      <c r="V65" s="3822">
        <f t="shared" si="13"/>
        <v>0</v>
      </c>
      <c r="W65" s="1977"/>
      <c r="X65" s="1768"/>
      <c r="Y65" s="1977"/>
      <c r="Z65" s="1768"/>
      <c r="AA65" s="1978"/>
      <c r="AB65" s="1979"/>
      <c r="AC65" s="1981"/>
      <c r="AD65" s="1768">
        <v>7.2</v>
      </c>
      <c r="AE65" s="2011"/>
      <c r="AF65" s="3114"/>
      <c r="AG65" s="1768">
        <v>7.2</v>
      </c>
      <c r="AH65" s="1061"/>
      <c r="AI65" s="64"/>
      <c r="AJ65" s="883">
        <f t="shared" si="14"/>
        <v>0</v>
      </c>
      <c r="AK65" s="883"/>
      <c r="AL65" s="1808">
        <f>ROUND(IF(AG65=0,0,AJ65/ABS(AG65)),3)</f>
        <v>0</v>
      </c>
      <c r="AM65" s="1798"/>
    </row>
    <row r="66" spans="1:39" s="875" customFormat="1" ht="15" customHeight="1">
      <c r="A66" s="1058"/>
      <c r="B66" s="880" t="s">
        <v>977</v>
      </c>
      <c r="C66" s="104"/>
      <c r="D66" s="884">
        <v>0.2</v>
      </c>
      <c r="E66" s="1511"/>
      <c r="F66" s="884">
        <v>0</v>
      </c>
      <c r="G66" s="1511"/>
      <c r="H66" s="884">
        <v>0</v>
      </c>
      <c r="I66" s="1511"/>
      <c r="J66" s="3822">
        <v>4.5999999999999996</v>
      </c>
      <c r="K66" s="1517"/>
      <c r="L66" s="3822">
        <v>0.29999999999999982</v>
      </c>
      <c r="M66" s="1517"/>
      <c r="N66" s="3822">
        <v>4.3000000000000016</v>
      </c>
      <c r="O66" s="1517"/>
      <c r="P66" s="3822">
        <v>0.79999999999999893</v>
      </c>
      <c r="Q66" s="1977"/>
      <c r="R66" s="1768">
        <v>8.6000000000000032</v>
      </c>
      <c r="S66" s="1977"/>
      <c r="T66" s="3822">
        <v>2.0999999999999979</v>
      </c>
      <c r="U66" s="1977"/>
      <c r="V66" s="3822">
        <f t="shared" si="13"/>
        <v>2</v>
      </c>
      <c r="W66" s="1977"/>
      <c r="X66" s="1768"/>
      <c r="Y66" s="1977"/>
      <c r="Z66" s="1768"/>
      <c r="AA66" s="1978"/>
      <c r="AB66" s="1979"/>
      <c r="AC66" s="1981"/>
      <c r="AD66" s="1768">
        <v>22.9</v>
      </c>
      <c r="AE66" s="2011"/>
      <c r="AF66" s="3114"/>
      <c r="AG66" s="1768">
        <v>15.9</v>
      </c>
      <c r="AH66" s="1061"/>
      <c r="AI66" s="64"/>
      <c r="AJ66" s="883">
        <f t="shared" si="14"/>
        <v>7</v>
      </c>
      <c r="AK66" s="883"/>
      <c r="AL66" s="1808">
        <f t="shared" ref="AL66:AL67" si="15">ROUND(IF(AG66=0,0,AJ66/ABS(AG66)),3)</f>
        <v>0.44</v>
      </c>
      <c r="AM66" s="1798"/>
    </row>
    <row r="67" spans="1:39" s="875" customFormat="1" ht="15" customHeight="1">
      <c r="A67" s="1058"/>
      <c r="B67" s="880" t="s">
        <v>949</v>
      </c>
      <c r="C67" s="104"/>
      <c r="D67" s="884">
        <v>41.8</v>
      </c>
      <c r="E67" s="1511"/>
      <c r="F67" s="884">
        <v>1.9000000000000057</v>
      </c>
      <c r="G67" s="1511"/>
      <c r="H67" s="884">
        <v>9</v>
      </c>
      <c r="I67" s="1511"/>
      <c r="J67" s="3822">
        <v>2.0999999999999943</v>
      </c>
      <c r="K67" s="1517"/>
      <c r="L67" s="3822">
        <v>16.400000000000006</v>
      </c>
      <c r="M67" s="1517"/>
      <c r="N67" s="3822">
        <v>84.899999999999991</v>
      </c>
      <c r="O67" s="1517"/>
      <c r="P67" s="3822">
        <v>77.2</v>
      </c>
      <c r="Q67" s="1977"/>
      <c r="R67" s="1768">
        <v>24.800000000000011</v>
      </c>
      <c r="S67" s="1977"/>
      <c r="T67" s="3822">
        <v>19.5</v>
      </c>
      <c r="U67" s="1977"/>
      <c r="V67" s="3822">
        <f t="shared" si="13"/>
        <v>35.399999999999906</v>
      </c>
      <c r="W67" s="1977"/>
      <c r="X67" s="1768"/>
      <c r="Y67" s="1977"/>
      <c r="Z67" s="1768"/>
      <c r="AA67" s="1978"/>
      <c r="AB67" s="1979"/>
      <c r="AC67" s="1981"/>
      <c r="AD67" s="1768">
        <v>313</v>
      </c>
      <c r="AE67" s="2011"/>
      <c r="AF67" s="3114"/>
      <c r="AG67" s="1768">
        <v>100.7</v>
      </c>
      <c r="AH67" s="1061"/>
      <c r="AI67" s="64"/>
      <c r="AJ67" s="883">
        <f t="shared" si="14"/>
        <v>212.3</v>
      </c>
      <c r="AK67" s="883"/>
      <c r="AL67" s="1808">
        <f t="shared" si="15"/>
        <v>2.1080000000000001</v>
      </c>
      <c r="AM67" s="1798"/>
    </row>
    <row r="68" spans="1:39" s="875" customFormat="1" ht="17.25" customHeight="1">
      <c r="A68" s="1058"/>
      <c r="B68" s="880" t="s">
        <v>1048</v>
      </c>
      <c r="C68" s="104"/>
      <c r="D68" s="884" t="s">
        <v>14</v>
      </c>
      <c r="E68" s="1511"/>
      <c r="F68" s="884"/>
      <c r="G68" s="1511"/>
      <c r="H68" s="884"/>
      <c r="I68" s="1511"/>
      <c r="J68" s="884"/>
      <c r="K68" s="115"/>
      <c r="L68" s="3822"/>
      <c r="M68" s="115"/>
      <c r="N68" s="884"/>
      <c r="O68" s="115"/>
      <c r="P68" s="3822"/>
      <c r="Q68" s="1974"/>
      <c r="R68" s="1768"/>
      <c r="S68" s="1974"/>
      <c r="T68" s="1768"/>
      <c r="U68" s="1974"/>
      <c r="V68" s="1768"/>
      <c r="W68" s="1974"/>
      <c r="X68" s="1768"/>
      <c r="Y68" s="1974"/>
      <c r="Z68" s="1768"/>
      <c r="AA68" s="1973"/>
      <c r="AB68" s="1974"/>
      <c r="AC68" s="2018"/>
      <c r="AD68" s="1974"/>
      <c r="AE68" s="1974"/>
      <c r="AF68" s="1976"/>
      <c r="AG68" s="1974"/>
      <c r="AH68" s="1061"/>
      <c r="AI68" s="64"/>
      <c r="AJ68" s="883"/>
      <c r="AK68" s="883"/>
      <c r="AL68" s="1797"/>
      <c r="AM68" s="1798"/>
    </row>
    <row r="69" spans="1:39" s="875" customFormat="1" ht="15" customHeight="1">
      <c r="A69" s="1058"/>
      <c r="B69" s="880" t="s">
        <v>978</v>
      </c>
      <c r="C69" s="104"/>
      <c r="D69" s="884">
        <v>45</v>
      </c>
      <c r="E69" s="1511"/>
      <c r="F69" s="884">
        <v>8.8999999999999986</v>
      </c>
      <c r="G69" s="1511"/>
      <c r="H69" s="884">
        <v>20.800000000000004</v>
      </c>
      <c r="I69" s="1511"/>
      <c r="J69" s="3822">
        <v>8.3999999999999915</v>
      </c>
      <c r="K69" s="1517"/>
      <c r="L69" s="3822">
        <v>8.6000000000000085</v>
      </c>
      <c r="M69" s="1517"/>
      <c r="N69" s="3822">
        <v>8.2999999999999972</v>
      </c>
      <c r="O69" s="1517"/>
      <c r="P69" s="3822">
        <v>8.2999999999999972</v>
      </c>
      <c r="Q69" s="1977"/>
      <c r="R69" s="1768">
        <v>8.2000000000000028</v>
      </c>
      <c r="S69" s="1977"/>
      <c r="T69" s="3822">
        <v>43.3</v>
      </c>
      <c r="U69" s="1977"/>
      <c r="V69" s="3822">
        <f t="shared" ref="V69:V76" si="16">$AD69-$D69-$F69-$H69-$J69-$L69-$N69-$P69-$R69-$T69</f>
        <v>7.8999999999999773</v>
      </c>
      <c r="W69" s="1977"/>
      <c r="X69" s="1768"/>
      <c r="Y69" s="1977"/>
      <c r="Z69" s="1768"/>
      <c r="AA69" s="1978"/>
      <c r="AB69" s="1979"/>
      <c r="AC69" s="1981"/>
      <c r="AD69" s="1768">
        <v>167.7</v>
      </c>
      <c r="AE69" s="2011"/>
      <c r="AF69" s="3114"/>
      <c r="AG69" s="1768">
        <v>119</v>
      </c>
      <c r="AH69" s="1061"/>
      <c r="AI69" s="64"/>
      <c r="AJ69" s="883">
        <f t="shared" ref="AJ69:AJ80" si="17">ROUND(SUM(+AD69-AG69),1)</f>
        <v>48.7</v>
      </c>
      <c r="AK69" s="883"/>
      <c r="AL69" s="1808">
        <f>ROUND(IF(AG69=0,0,AJ69/ABS(AG69)),3)</f>
        <v>0.40899999999999997</v>
      </c>
      <c r="AM69" s="1798" t="s">
        <v>14</v>
      </c>
    </row>
    <row r="70" spans="1:39" s="875" customFormat="1" ht="15" customHeight="1">
      <c r="A70" s="1058"/>
      <c r="B70" s="880" t="s">
        <v>979</v>
      </c>
      <c r="C70" s="104"/>
      <c r="D70" s="884">
        <v>0.5</v>
      </c>
      <c r="E70" s="1511"/>
      <c r="F70" s="884">
        <v>0.60000000000000142</v>
      </c>
      <c r="G70" s="1511"/>
      <c r="H70" s="884">
        <v>0.59999999999999565</v>
      </c>
      <c r="I70" s="1511"/>
      <c r="J70" s="3822">
        <v>0.60000000000000009</v>
      </c>
      <c r="K70" s="1517"/>
      <c r="L70" s="3822">
        <v>0.39999999999999147</v>
      </c>
      <c r="M70" s="1517"/>
      <c r="N70" s="3822">
        <v>0.40000000000003411</v>
      </c>
      <c r="O70" s="1517"/>
      <c r="P70" s="3822">
        <v>0.69999999999998863</v>
      </c>
      <c r="Q70" s="1977"/>
      <c r="R70" s="1768">
        <v>0.89999999999997726</v>
      </c>
      <c r="S70" s="1977"/>
      <c r="T70" s="3822">
        <v>14.399999999999977</v>
      </c>
      <c r="U70" s="1977"/>
      <c r="V70" s="3822">
        <f t="shared" si="16"/>
        <v>0.80000000000001847</v>
      </c>
      <c r="W70" s="1977"/>
      <c r="X70" s="1768"/>
      <c r="Y70" s="1977"/>
      <c r="Z70" s="1768"/>
      <c r="AA70" s="1978"/>
      <c r="AB70" s="1979"/>
      <c r="AC70" s="1981"/>
      <c r="AD70" s="1768">
        <v>19.899999999999984</v>
      </c>
      <c r="AE70" s="2011"/>
      <c r="AF70" s="3114"/>
      <c r="AG70" s="1768">
        <v>18.2</v>
      </c>
      <c r="AH70" s="1061"/>
      <c r="AI70" s="64"/>
      <c r="AJ70" s="883">
        <f t="shared" si="17"/>
        <v>1.7</v>
      </c>
      <c r="AK70" s="883"/>
      <c r="AL70" s="1808">
        <f>ROUND(IF(AG70=0,0,AJ70/ABS(AG70)),3)</f>
        <v>9.2999999999999999E-2</v>
      </c>
      <c r="AM70" s="1798"/>
    </row>
    <row r="71" spans="1:39" s="875" customFormat="1" ht="15" customHeight="1">
      <c r="A71" s="1058"/>
      <c r="B71" s="880" t="s">
        <v>1251</v>
      </c>
      <c r="C71" s="104"/>
      <c r="D71" s="884">
        <v>0</v>
      </c>
      <c r="E71" s="1511"/>
      <c r="F71" s="884">
        <v>0</v>
      </c>
      <c r="G71" s="1511"/>
      <c r="H71" s="884">
        <v>0</v>
      </c>
      <c r="I71" s="1511"/>
      <c r="J71" s="3822">
        <v>0</v>
      </c>
      <c r="K71" s="1517"/>
      <c r="L71" s="3822">
        <v>0</v>
      </c>
      <c r="M71" s="1517"/>
      <c r="N71" s="3822">
        <v>0</v>
      </c>
      <c r="O71" s="1517"/>
      <c r="P71" s="3822">
        <v>0</v>
      </c>
      <c r="Q71" s="1977"/>
      <c r="R71" s="1768">
        <v>0</v>
      </c>
      <c r="S71" s="1977"/>
      <c r="T71" s="3822">
        <v>178</v>
      </c>
      <c r="U71" s="1977"/>
      <c r="V71" s="3822">
        <f t="shared" si="16"/>
        <v>50</v>
      </c>
      <c r="W71" s="1977"/>
      <c r="X71" s="1768"/>
      <c r="Y71" s="1977"/>
      <c r="Z71" s="1768"/>
      <c r="AA71" s="1978"/>
      <c r="AB71" s="1979"/>
      <c r="AC71" s="1981"/>
      <c r="AD71" s="1768">
        <v>228</v>
      </c>
      <c r="AE71" s="2011"/>
      <c r="AF71" s="3116"/>
      <c r="AG71" s="1768">
        <v>118</v>
      </c>
      <c r="AH71" s="1061"/>
      <c r="AI71" s="64"/>
      <c r="AJ71" s="883">
        <f t="shared" si="17"/>
        <v>110</v>
      </c>
      <c r="AK71" s="883"/>
      <c r="AL71" s="1797">
        <f>ROUND(IF(AG71=0,0,AJ71/ABS(AG71)),3)</f>
        <v>0.93200000000000005</v>
      </c>
      <c r="AM71" s="1798"/>
    </row>
    <row r="72" spans="1:39" s="875" customFormat="1" ht="15" customHeight="1">
      <c r="A72" s="1058"/>
      <c r="B72" s="880" t="s">
        <v>980</v>
      </c>
      <c r="C72" s="104"/>
      <c r="D72" s="884">
        <v>0.7</v>
      </c>
      <c r="E72" s="1511"/>
      <c r="F72" s="884">
        <v>0.8</v>
      </c>
      <c r="G72" s="1511"/>
      <c r="H72" s="884">
        <v>0.5</v>
      </c>
      <c r="I72" s="1511"/>
      <c r="J72" s="3822">
        <v>0.29999999999999982</v>
      </c>
      <c r="K72" s="1517"/>
      <c r="L72" s="3822">
        <v>0.20000000000000018</v>
      </c>
      <c r="M72" s="1517"/>
      <c r="N72" s="3822">
        <v>1.7000000000000002</v>
      </c>
      <c r="O72" s="1517"/>
      <c r="P72" s="3822">
        <v>9.9999999999999645E-2</v>
      </c>
      <c r="Q72" s="1977"/>
      <c r="R72" s="1768">
        <v>0.20000000000000018</v>
      </c>
      <c r="S72" s="1977"/>
      <c r="T72" s="3822">
        <v>0.29999999999999982</v>
      </c>
      <c r="U72" s="1977"/>
      <c r="V72" s="3822">
        <f t="shared" si="16"/>
        <v>0.5</v>
      </c>
      <c r="W72" s="1977"/>
      <c r="X72" s="1768"/>
      <c r="Y72" s="1977"/>
      <c r="Z72" s="1768"/>
      <c r="AA72" s="1978"/>
      <c r="AB72" s="1979"/>
      <c r="AC72" s="1981"/>
      <c r="AD72" s="1768">
        <v>5.3</v>
      </c>
      <c r="AE72" s="2011"/>
      <c r="AF72" s="3114"/>
      <c r="AG72" s="1768">
        <v>33.200000000000003</v>
      </c>
      <c r="AH72" s="1061"/>
      <c r="AI72" s="64"/>
      <c r="AJ72" s="883">
        <f t="shared" si="17"/>
        <v>-27.9</v>
      </c>
      <c r="AK72" s="883"/>
      <c r="AL72" s="1808">
        <f t="shared" ref="AL72:AL75" si="18">ROUND(IF(AG72=0,0,AJ72/ABS(AG72)),3)</f>
        <v>-0.84</v>
      </c>
      <c r="AM72" s="1798"/>
    </row>
    <row r="73" spans="1:39" s="875" customFormat="1" ht="15" customHeight="1">
      <c r="A73" s="1058"/>
      <c r="B73" s="880" t="s">
        <v>981</v>
      </c>
      <c r="C73" s="104"/>
      <c r="D73" s="884">
        <v>0</v>
      </c>
      <c r="E73" s="1511"/>
      <c r="F73" s="884">
        <v>0</v>
      </c>
      <c r="G73" s="1511"/>
      <c r="H73" s="884">
        <v>0</v>
      </c>
      <c r="I73" s="1511"/>
      <c r="J73" s="3822">
        <v>0</v>
      </c>
      <c r="K73" s="1517"/>
      <c r="L73" s="3822">
        <v>0</v>
      </c>
      <c r="M73" s="1517"/>
      <c r="N73" s="3822">
        <v>0.1</v>
      </c>
      <c r="O73" s="1517"/>
      <c r="P73" s="3822">
        <v>0</v>
      </c>
      <c r="Q73" s="1977"/>
      <c r="R73" s="1768">
        <v>4.5</v>
      </c>
      <c r="S73" s="1977"/>
      <c r="T73" s="3822">
        <v>0</v>
      </c>
      <c r="U73" s="1977"/>
      <c r="V73" s="3822">
        <f t="shared" si="16"/>
        <v>0</v>
      </c>
      <c r="W73" s="1977"/>
      <c r="X73" s="1768"/>
      <c r="Y73" s="1977"/>
      <c r="Z73" s="1768"/>
      <c r="AA73" s="1978"/>
      <c r="AB73" s="1979"/>
      <c r="AC73" s="1981"/>
      <c r="AD73" s="1768">
        <v>4.5999999999999996</v>
      </c>
      <c r="AE73" s="2011"/>
      <c r="AF73" s="3114"/>
      <c r="AG73" s="1768">
        <v>0</v>
      </c>
      <c r="AH73" s="1061"/>
      <c r="AI73" s="64"/>
      <c r="AJ73" s="883">
        <f t="shared" si="17"/>
        <v>4.5999999999999996</v>
      </c>
      <c r="AK73" s="883"/>
      <c r="AL73" s="1808">
        <f>ROUND(IF(AG73=0,1,AJ73/ABS(AG73)),3)</f>
        <v>1</v>
      </c>
      <c r="AM73" s="1798"/>
    </row>
    <row r="74" spans="1:39" s="875" customFormat="1" ht="15" customHeight="1">
      <c r="A74" s="1058"/>
      <c r="B74" s="880" t="s">
        <v>982</v>
      </c>
      <c r="C74" s="104"/>
      <c r="D74" s="884">
        <v>214.29999999999998</v>
      </c>
      <c r="E74" s="1511"/>
      <c r="F74" s="884">
        <v>178.70000000000002</v>
      </c>
      <c r="G74" s="1511"/>
      <c r="H74" s="884">
        <v>221.10000000000005</v>
      </c>
      <c r="I74" s="1511"/>
      <c r="J74" s="3822">
        <v>204.1</v>
      </c>
      <c r="K74" s="1517"/>
      <c r="L74" s="3822">
        <v>195.79999999999998</v>
      </c>
      <c r="M74" s="1517"/>
      <c r="N74" s="3822">
        <v>204.20000000000002</v>
      </c>
      <c r="O74" s="1517"/>
      <c r="P74" s="3822">
        <v>210.00000000000003</v>
      </c>
      <c r="Q74" s="1977"/>
      <c r="R74" s="1768">
        <v>219.09999999999977</v>
      </c>
      <c r="S74" s="1977"/>
      <c r="T74" s="3822">
        <v>214.90000000000023</v>
      </c>
      <c r="U74" s="1977"/>
      <c r="V74" s="3822">
        <f t="shared" si="16"/>
        <v>196.29999999999993</v>
      </c>
      <c r="W74" s="1977"/>
      <c r="X74" s="1768"/>
      <c r="Y74" s="1977"/>
      <c r="Z74" s="1768"/>
      <c r="AA74" s="1978"/>
      <c r="AB74" s="1979"/>
      <c r="AC74" s="1981"/>
      <c r="AD74" s="1768">
        <v>2058.5</v>
      </c>
      <c r="AE74" s="2011"/>
      <c r="AF74" s="3114"/>
      <c r="AG74" s="1768">
        <v>2518.3000000000002</v>
      </c>
      <c r="AH74" s="1061"/>
      <c r="AI74" s="64"/>
      <c r="AJ74" s="883">
        <f t="shared" si="17"/>
        <v>-459.8</v>
      </c>
      <c r="AK74" s="883"/>
      <c r="AL74" s="1797">
        <f t="shared" si="18"/>
        <v>-0.183</v>
      </c>
      <c r="AM74" s="1798"/>
    </row>
    <row r="75" spans="1:39" s="875" customFormat="1" ht="15" customHeight="1">
      <c r="A75" s="1058"/>
      <c r="B75" s="880" t="s">
        <v>983</v>
      </c>
      <c r="C75" s="104"/>
      <c r="D75" s="884">
        <v>4.7</v>
      </c>
      <c r="E75" s="1511"/>
      <c r="F75" s="884">
        <v>0.5</v>
      </c>
      <c r="G75" s="1511"/>
      <c r="H75" s="884">
        <v>7.2</v>
      </c>
      <c r="I75" s="1511"/>
      <c r="J75" s="3822">
        <v>5.200000000000002</v>
      </c>
      <c r="K75" s="1517"/>
      <c r="L75" s="3822">
        <v>1.1999999999999993</v>
      </c>
      <c r="M75" s="1517"/>
      <c r="N75" s="3822">
        <v>7.6999999999999993</v>
      </c>
      <c r="O75" s="1517"/>
      <c r="P75" s="3822">
        <v>8.7000000000000028</v>
      </c>
      <c r="Q75" s="1977"/>
      <c r="R75" s="1768">
        <v>0.39999999999999858</v>
      </c>
      <c r="S75" s="1977"/>
      <c r="T75" s="3822">
        <v>3.6999999999999922</v>
      </c>
      <c r="U75" s="1977"/>
      <c r="V75" s="3822">
        <f t="shared" si="16"/>
        <v>6.4000000000000021</v>
      </c>
      <c r="W75" s="1977"/>
      <c r="X75" s="1768"/>
      <c r="Y75" s="1977"/>
      <c r="Z75" s="1768"/>
      <c r="AA75" s="1978"/>
      <c r="AB75" s="1979"/>
      <c r="AC75" s="1981"/>
      <c r="AD75" s="1768">
        <v>45.7</v>
      </c>
      <c r="AE75" s="2011"/>
      <c r="AF75" s="3114"/>
      <c r="AG75" s="1768">
        <v>44.2</v>
      </c>
      <c r="AH75" s="1061"/>
      <c r="AI75" s="64"/>
      <c r="AJ75" s="883">
        <f t="shared" si="17"/>
        <v>1.5</v>
      </c>
      <c r="AK75" s="883"/>
      <c r="AL75" s="1808">
        <f t="shared" si="18"/>
        <v>3.4000000000000002E-2</v>
      </c>
      <c r="AM75" s="1798"/>
    </row>
    <row r="76" spans="1:39" s="875" customFormat="1" ht="15" customHeight="1">
      <c r="A76" s="1058"/>
      <c r="B76" s="880" t="s">
        <v>984</v>
      </c>
      <c r="C76" s="104"/>
      <c r="D76" s="884">
        <v>1.2</v>
      </c>
      <c r="E76" s="1511"/>
      <c r="F76" s="884">
        <v>9.8000000000000007</v>
      </c>
      <c r="G76" s="1511"/>
      <c r="H76" s="884">
        <v>7.1999999999999993</v>
      </c>
      <c r="I76" s="1511"/>
      <c r="J76" s="3822">
        <v>0.60000000000000142</v>
      </c>
      <c r="K76" s="1517"/>
      <c r="L76" s="3822">
        <v>0.89999999999999858</v>
      </c>
      <c r="M76" s="1517"/>
      <c r="N76" s="3822">
        <v>3.9000000000000021</v>
      </c>
      <c r="O76" s="1517"/>
      <c r="P76" s="3822">
        <v>17.199999999999992</v>
      </c>
      <c r="Q76" s="1977"/>
      <c r="R76" s="1768">
        <v>2.1000000000000014</v>
      </c>
      <c r="S76" s="1977"/>
      <c r="T76" s="3822">
        <v>0.19999999999999929</v>
      </c>
      <c r="U76" s="1977"/>
      <c r="V76" s="3822">
        <f t="shared" si="16"/>
        <v>5.7999999999999972</v>
      </c>
      <c r="W76" s="1977"/>
      <c r="X76" s="1768"/>
      <c r="Y76" s="1977"/>
      <c r="Z76" s="1768"/>
      <c r="AA76" s="1978"/>
      <c r="AB76" s="1979"/>
      <c r="AC76" s="1981"/>
      <c r="AD76" s="1768">
        <v>48.9</v>
      </c>
      <c r="AE76" s="2011"/>
      <c r="AF76" s="3114"/>
      <c r="AG76" s="1768">
        <v>73.7</v>
      </c>
      <c r="AH76" s="1061"/>
      <c r="AI76" s="64"/>
      <c r="AJ76" s="883">
        <f t="shared" si="17"/>
        <v>-24.8</v>
      </c>
      <c r="AK76" s="883"/>
      <c r="AL76" s="1808">
        <f>ROUND(IF(AG76=0,1,AJ76/ABS(AG76)),3)</f>
        <v>-0.33600000000000002</v>
      </c>
      <c r="AM76" s="1798"/>
    </row>
    <row r="77" spans="1:39" s="875" customFormat="1" ht="15" customHeight="1">
      <c r="A77" s="1058"/>
      <c r="B77" s="880" t="s">
        <v>985</v>
      </c>
      <c r="C77" s="104"/>
      <c r="D77" s="884">
        <v>2.4</v>
      </c>
      <c r="E77" s="883"/>
      <c r="F77" s="884">
        <v>5.6</v>
      </c>
      <c r="G77" s="883"/>
      <c r="H77" s="884">
        <v>1.3000000000000007</v>
      </c>
      <c r="I77" s="883"/>
      <c r="J77" s="3822">
        <v>1.8999999999999986</v>
      </c>
      <c r="K77" s="1517"/>
      <c r="L77" s="3822">
        <v>1.4000000000000004</v>
      </c>
      <c r="M77" s="1517"/>
      <c r="N77" s="3822">
        <v>1.2000000000000011</v>
      </c>
      <c r="O77" s="1517"/>
      <c r="P77" s="3822">
        <v>1.0999999999999996</v>
      </c>
      <c r="Q77" s="1977"/>
      <c r="R77" s="1768">
        <v>5</v>
      </c>
      <c r="S77" s="1977"/>
      <c r="T77" s="3822">
        <v>1.5</v>
      </c>
      <c r="U77" s="1977"/>
      <c r="V77" s="3822">
        <f>$AD77-$D77-$F77-$H77-$J77-$L77-$N77-$P77-$R77-$T77</f>
        <v>-0.59999999999999787</v>
      </c>
      <c r="W77" s="1977"/>
      <c r="X77" s="1768"/>
      <c r="Y77" s="1977"/>
      <c r="Z77" s="1768"/>
      <c r="AA77" s="1978"/>
      <c r="AB77" s="1979"/>
      <c r="AC77" s="1981"/>
      <c r="AD77" s="1768">
        <v>20.8</v>
      </c>
      <c r="AE77" s="2011"/>
      <c r="AF77" s="3114"/>
      <c r="AG77" s="1768">
        <v>44.3</v>
      </c>
      <c r="AH77" s="1061"/>
      <c r="AI77" s="64"/>
      <c r="AJ77" s="883">
        <f t="shared" si="17"/>
        <v>-23.5</v>
      </c>
      <c r="AK77" s="883"/>
      <c r="AL77" s="1797">
        <f>ROUND(IF(AG77=0,0,AJ77/ABS(AG77)),3)</f>
        <v>-0.53</v>
      </c>
      <c r="AM77" s="1798"/>
    </row>
    <row r="78" spans="1:39" s="875" customFormat="1" ht="15" customHeight="1">
      <c r="A78" s="1058"/>
      <c r="B78" s="880" t="s">
        <v>986</v>
      </c>
      <c r="C78" s="104"/>
      <c r="D78" s="884">
        <v>64.599999999999994</v>
      </c>
      <c r="E78" s="883"/>
      <c r="F78" s="884">
        <v>37.100000000000009</v>
      </c>
      <c r="G78" s="883"/>
      <c r="H78" s="884">
        <v>57.399999999999991</v>
      </c>
      <c r="I78" s="883"/>
      <c r="J78" s="3822">
        <v>59.900000000000006</v>
      </c>
      <c r="K78" s="1517"/>
      <c r="L78" s="3822">
        <v>51.399999999999991</v>
      </c>
      <c r="M78" s="1517"/>
      <c r="N78" s="3822">
        <v>47.600000000000037</v>
      </c>
      <c r="O78" s="1517"/>
      <c r="P78" s="3822">
        <v>36.699999999999989</v>
      </c>
      <c r="Q78" s="1977"/>
      <c r="R78" s="1768">
        <v>42.600000000000023</v>
      </c>
      <c r="S78" s="1977"/>
      <c r="T78" s="3822">
        <v>48.499999999999986</v>
      </c>
      <c r="U78" s="1977"/>
      <c r="V78" s="3822">
        <f>$AD78-$D78-$F78-$H78-$J78-$L78-$N78-$P78-$R78-$T78</f>
        <v>67.09999999999998</v>
      </c>
      <c r="W78" s="1977"/>
      <c r="X78" s="1768"/>
      <c r="Y78" s="1977"/>
      <c r="Z78" s="1768"/>
      <c r="AA78" s="1978"/>
      <c r="AB78" s="1979"/>
      <c r="AC78" s="1980"/>
      <c r="AD78" s="1768">
        <v>512.9</v>
      </c>
      <c r="AE78" s="1979"/>
      <c r="AF78" s="1981"/>
      <c r="AG78" s="1768">
        <v>318.79999999999995</v>
      </c>
      <c r="AH78" s="1061"/>
      <c r="AI78" s="64"/>
      <c r="AJ78" s="883">
        <f t="shared" si="17"/>
        <v>194.1</v>
      </c>
      <c r="AK78" s="883"/>
      <c r="AL78" s="1808">
        <f>ROUND(IF(AG78=0,0,AJ78/ABS(AG78)),3)</f>
        <v>0.60899999999999999</v>
      </c>
      <c r="AM78" s="1798"/>
    </row>
    <row r="79" spans="1:39" ht="15" customHeight="1">
      <c r="A79" s="147"/>
      <c r="B79" s="880" t="s">
        <v>959</v>
      </c>
      <c r="C79" s="28"/>
      <c r="D79" s="884">
        <v>2.2000000000000002</v>
      </c>
      <c r="E79" s="883"/>
      <c r="F79" s="884">
        <v>0.5</v>
      </c>
      <c r="G79" s="883"/>
      <c r="H79" s="884">
        <v>1.7000000000000002</v>
      </c>
      <c r="I79" s="883"/>
      <c r="J79" s="3822">
        <v>1.1999999999999993</v>
      </c>
      <c r="K79" s="1517"/>
      <c r="L79" s="3822">
        <v>0.90000000000000036</v>
      </c>
      <c r="M79" s="1517"/>
      <c r="N79" s="3822">
        <v>3</v>
      </c>
      <c r="O79" s="1517"/>
      <c r="P79" s="3822">
        <v>8.5000000000000018</v>
      </c>
      <c r="Q79" s="1977"/>
      <c r="R79" s="1768">
        <v>2</v>
      </c>
      <c r="S79" s="1977"/>
      <c r="T79" s="3822">
        <v>1.3000000000000007</v>
      </c>
      <c r="U79" s="1977"/>
      <c r="V79" s="3822">
        <f>$AD79-$D79-$F79-$H79-$J79-$L79-$N79-$P79-$R79-$T79</f>
        <v>0.59999999999999787</v>
      </c>
      <c r="W79" s="1977"/>
      <c r="X79" s="1768"/>
      <c r="Y79" s="1977"/>
      <c r="Z79" s="1768"/>
      <c r="AA79" s="1978"/>
      <c r="AB79" s="1979"/>
      <c r="AC79" s="1980"/>
      <c r="AD79" s="1768">
        <v>21.9</v>
      </c>
      <c r="AE79" s="1979"/>
      <c r="AF79" s="1981"/>
      <c r="AG79" s="1768">
        <v>7.5</v>
      </c>
      <c r="AH79" s="272"/>
      <c r="AI79" s="53"/>
      <c r="AJ79" s="634">
        <f t="shared" si="17"/>
        <v>14.4</v>
      </c>
      <c r="AK79" s="634"/>
      <c r="AL79" s="1416">
        <f>ROUND(IF(AG79=0,0,AJ79/ABS(AG79)),3)</f>
        <v>1.92</v>
      </c>
      <c r="AM79" s="773"/>
    </row>
    <row r="80" spans="1:39" s="875" customFormat="1" ht="15" customHeight="1">
      <c r="A80" s="1058"/>
      <c r="B80" s="880" t="s">
        <v>960</v>
      </c>
      <c r="C80" s="104"/>
      <c r="D80" s="884">
        <v>-75.7</v>
      </c>
      <c r="E80" s="883"/>
      <c r="F80" s="884">
        <v>41.6</v>
      </c>
      <c r="G80" s="883"/>
      <c r="H80" s="884">
        <v>51.300000000000004</v>
      </c>
      <c r="I80" s="883"/>
      <c r="J80" s="3822">
        <v>56.6</v>
      </c>
      <c r="K80" s="1517"/>
      <c r="L80" s="3822">
        <v>203.99999999999997</v>
      </c>
      <c r="M80" s="1517"/>
      <c r="N80" s="3822">
        <v>243.30000000000004</v>
      </c>
      <c r="O80" s="1517"/>
      <c r="P80" s="3822">
        <v>125.10000000000005</v>
      </c>
      <c r="Q80" s="1977"/>
      <c r="R80" s="1768">
        <v>31.299999999999955</v>
      </c>
      <c r="S80" s="1977"/>
      <c r="T80" s="3822">
        <v>2.7000000000000455</v>
      </c>
      <c r="U80" s="1977"/>
      <c r="V80" s="3822">
        <f>$AD80-$D80-$F80-$H80-$J80-$L80-$N80-$P80-$R80-$T80</f>
        <v>182.29999999999993</v>
      </c>
      <c r="W80" s="1977"/>
      <c r="X80" s="1768"/>
      <c r="Y80" s="1977"/>
      <c r="Z80" s="1768"/>
      <c r="AA80" s="1978"/>
      <c r="AB80" s="1979"/>
      <c r="AC80" s="1981"/>
      <c r="AD80" s="1768">
        <v>862.5</v>
      </c>
      <c r="AE80" s="2011"/>
      <c r="AF80" s="3114"/>
      <c r="AG80" s="1768">
        <v>903</v>
      </c>
      <c r="AH80" s="1061"/>
      <c r="AI80" s="64"/>
      <c r="AJ80" s="883">
        <f t="shared" si="17"/>
        <v>-40.5</v>
      </c>
      <c r="AK80" s="883"/>
      <c r="AL80" s="1797">
        <f>ROUND(IF(AG80=0,0,AJ80/ABS(AG80)),3)</f>
        <v>-4.4999999999999998E-2</v>
      </c>
      <c r="AM80" s="1798"/>
    </row>
    <row r="81" spans="1:39" s="875" customFormat="1" ht="15" customHeight="1">
      <c r="A81" s="1058"/>
      <c r="B81" s="307" t="s">
        <v>1087</v>
      </c>
      <c r="C81" s="104"/>
      <c r="D81" s="1817">
        <f>ROUND(SUM(D41:D80),1)</f>
        <v>1319.2</v>
      </c>
      <c r="E81" s="883"/>
      <c r="F81" s="1817">
        <f>ROUND(SUM(F41:F80),1)</f>
        <v>1253.5999999999999</v>
      </c>
      <c r="G81" s="883"/>
      <c r="H81" s="1817">
        <f>ROUND(SUM(H41:H80),1)</f>
        <v>1565.3</v>
      </c>
      <c r="I81" s="883"/>
      <c r="J81" s="1817">
        <f>ROUND(SUM(J41:J80),1)</f>
        <v>1401.7</v>
      </c>
      <c r="K81" s="115"/>
      <c r="L81" s="1519">
        <f>ROUND(SUM(L41:L80),1)</f>
        <v>1512.1</v>
      </c>
      <c r="M81" s="115"/>
      <c r="N81" s="1519">
        <f>ROUND(SUM(N41:N80),1)</f>
        <v>1873.5</v>
      </c>
      <c r="O81" s="115"/>
      <c r="P81" s="1444">
        <f>ROUND(SUM(P41:P80),1)</f>
        <v>1565.9</v>
      </c>
      <c r="Q81" s="1974"/>
      <c r="R81" s="1444">
        <f>ROUND(SUM(R41:R80),1)</f>
        <v>1536.1</v>
      </c>
      <c r="S81" s="1974"/>
      <c r="T81" s="1444">
        <f>ROUND(SUM(T41:T80),1)</f>
        <v>1815.3</v>
      </c>
      <c r="U81" s="1974"/>
      <c r="V81" s="1444">
        <f>ROUND(SUM(V41:V80),1)</f>
        <v>1630.2</v>
      </c>
      <c r="W81" s="1974"/>
      <c r="X81" s="1444">
        <f>ROUND(SUM(X41:X80),1)</f>
        <v>0</v>
      </c>
      <c r="Y81" s="1974"/>
      <c r="Z81" s="1444">
        <f>ROUND(SUM(Z41:Z80),1)</f>
        <v>0</v>
      </c>
      <c r="AA81" s="1446"/>
      <c r="AB81" s="1974"/>
      <c r="AC81" s="2018"/>
      <c r="AD81" s="1444">
        <f>ROUND(SUM(AD41:AD80),1)</f>
        <v>15472.9</v>
      </c>
      <c r="AE81" s="1974"/>
      <c r="AF81" s="1976"/>
      <c r="AG81" s="1444">
        <f>ROUND(SUM(AG41:AG80),1)</f>
        <v>13684.3</v>
      </c>
      <c r="AH81" s="1061"/>
      <c r="AI81" s="64"/>
      <c r="AJ81" s="1519">
        <f>ROUND(SUM(AJ41:AJ80),1)</f>
        <v>1788.6</v>
      </c>
      <c r="AK81" s="883"/>
      <c r="AL81" s="1799">
        <f>ROUND(SUM(+AJ81/AG81),3)</f>
        <v>0.13100000000000001</v>
      </c>
      <c r="AM81" s="1798"/>
    </row>
    <row r="82" spans="1:39" s="875" customFormat="1" ht="15" customHeight="1">
      <c r="A82" s="1058"/>
      <c r="B82" s="307"/>
      <c r="C82" s="104"/>
      <c r="D82" s="112"/>
      <c r="E82" s="883"/>
      <c r="F82" s="112"/>
      <c r="G82" s="883"/>
      <c r="H82" s="112"/>
      <c r="I82" s="883"/>
      <c r="J82" s="112"/>
      <c r="K82" s="115"/>
      <c r="L82" s="112"/>
      <c r="M82" s="115"/>
      <c r="N82" s="112"/>
      <c r="O82" s="115"/>
      <c r="P82" s="1446"/>
      <c r="Q82" s="1974"/>
      <c r="R82" s="1446"/>
      <c r="S82" s="1974"/>
      <c r="T82" s="1446"/>
      <c r="U82" s="1974"/>
      <c r="V82" s="1446"/>
      <c r="W82" s="1974"/>
      <c r="X82" s="1446"/>
      <c r="Y82" s="1974"/>
      <c r="Z82" s="1446"/>
      <c r="AA82" s="1446"/>
      <c r="AB82" s="1974"/>
      <c r="AC82" s="2018"/>
      <c r="AD82" s="1446"/>
      <c r="AE82" s="1974"/>
      <c r="AF82" s="1976"/>
      <c r="AG82" s="1446"/>
      <c r="AH82" s="1061"/>
      <c r="AI82" s="64"/>
      <c r="AJ82" s="112"/>
      <c r="AK82" s="883"/>
      <c r="AL82" s="1800"/>
      <c r="AM82" s="1798"/>
    </row>
    <row r="83" spans="1:39" s="875" customFormat="1" ht="15" customHeight="1">
      <c r="A83" s="1058"/>
      <c r="B83" s="1795" t="s">
        <v>148</v>
      </c>
      <c r="C83" s="104"/>
      <c r="D83" s="884">
        <v>0</v>
      </c>
      <c r="E83" s="883"/>
      <c r="F83" s="884">
        <v>0</v>
      </c>
      <c r="G83" s="883"/>
      <c r="H83" s="884">
        <v>0</v>
      </c>
      <c r="I83" s="883"/>
      <c r="J83" s="3822">
        <v>0</v>
      </c>
      <c r="K83" s="1517"/>
      <c r="L83" s="3822">
        <v>0.1</v>
      </c>
      <c r="M83" s="1517"/>
      <c r="N83" s="3822">
        <v>0</v>
      </c>
      <c r="O83" s="1517"/>
      <c r="P83" s="3822">
        <v>34.4</v>
      </c>
      <c r="Q83" s="1977"/>
      <c r="R83" s="1768">
        <v>0</v>
      </c>
      <c r="S83" s="1977"/>
      <c r="T83" s="3822">
        <v>9</v>
      </c>
      <c r="U83" s="1977"/>
      <c r="V83" s="3822">
        <f>$AD83-$D83-$F83-$H83-$J83-$L83-$N83-$P83-$R83-$T83</f>
        <v>-14.399999999999999</v>
      </c>
      <c r="W83" s="1977"/>
      <c r="X83" s="1768"/>
      <c r="Y83" s="1977"/>
      <c r="Z83" s="1768"/>
      <c r="AA83" s="1978"/>
      <c r="AB83" s="1979"/>
      <c r="AC83" s="1981"/>
      <c r="AD83" s="1768">
        <v>29.1</v>
      </c>
      <c r="AE83" s="2011"/>
      <c r="AF83" s="3114"/>
      <c r="AG83" s="1768">
        <v>7.2</v>
      </c>
      <c r="AH83" s="1061"/>
      <c r="AI83" s="64"/>
      <c r="AJ83" s="1012">
        <f>ROUND(SUM(+AD83-AG83),1)</f>
        <v>21.9</v>
      </c>
      <c r="AK83" s="883"/>
      <c r="AL83" s="1708">
        <f>ROUND(IF(AG83=0,0,AJ83/ABS(AG83)),3)</f>
        <v>3.0419999999999998</v>
      </c>
      <c r="AM83" s="1798"/>
    </row>
    <row r="84" spans="1:39" ht="15" customHeight="1">
      <c r="A84" s="147"/>
      <c r="B84" s="28"/>
      <c r="C84" s="28"/>
      <c r="D84" s="677"/>
      <c r="E84" s="1511"/>
      <c r="F84" s="677"/>
      <c r="G84" s="1511"/>
      <c r="H84" s="677"/>
      <c r="I84" s="1511"/>
      <c r="J84" s="677"/>
      <c r="K84" s="63"/>
      <c r="L84" s="85"/>
      <c r="M84" s="63"/>
      <c r="N84" s="85"/>
      <c r="O84" s="63"/>
      <c r="P84" s="1984"/>
      <c r="Q84" s="1985"/>
      <c r="R84" s="1984"/>
      <c r="S84" s="1985"/>
      <c r="T84" s="1984"/>
      <c r="U84" s="1985"/>
      <c r="V84" s="1984"/>
      <c r="W84" s="1985"/>
      <c r="X84" s="1984"/>
      <c r="Y84" s="1985"/>
      <c r="Z84" s="1984"/>
      <c r="AA84" s="1986"/>
      <c r="AB84" s="1985"/>
      <c r="AC84" s="2016"/>
      <c r="AD84" s="2030"/>
      <c r="AE84" s="1956"/>
      <c r="AF84" s="1976"/>
      <c r="AG84" s="2030"/>
      <c r="AH84" s="272"/>
      <c r="AI84" s="53"/>
      <c r="AJ84" s="1392"/>
      <c r="AK84" s="908"/>
      <c r="AL84" s="1430"/>
      <c r="AM84" s="773"/>
    </row>
    <row r="85" spans="1:39" ht="15" customHeight="1">
      <c r="A85" s="147"/>
      <c r="B85" s="26" t="s">
        <v>149</v>
      </c>
      <c r="C85" s="28"/>
      <c r="D85" s="910">
        <f>ROUND(SUM(D37+D81+D83),1)</f>
        <v>1705.8</v>
      </c>
      <c r="E85" s="910"/>
      <c r="F85" s="910">
        <f>ROUND(SUM(F37+F81+F83),1)</f>
        <v>1475.2</v>
      </c>
      <c r="G85" s="910"/>
      <c r="H85" s="910">
        <f>ROUND(SUM(H37+H81+H83),1)</f>
        <v>2126</v>
      </c>
      <c r="I85" s="910"/>
      <c r="J85" s="910">
        <f>ROUND(SUM(J37+J81+J83),1)</f>
        <v>1658</v>
      </c>
      <c r="K85" s="910"/>
      <c r="L85" s="910">
        <f>ROUND(SUM(L37+L81+L83),1)</f>
        <v>1724.1</v>
      </c>
      <c r="M85" s="910"/>
      <c r="N85" s="910">
        <f>ROUND(SUM(N37+N81+N83),1)</f>
        <v>2424.3000000000002</v>
      </c>
      <c r="O85" s="910"/>
      <c r="P85" s="1445">
        <f>ROUND(SUM(P37+P81+P83),1)</f>
        <v>1852</v>
      </c>
      <c r="Q85" s="1445"/>
      <c r="R85" s="1445">
        <f>ROUND(SUM(R37+R81+R83),1)</f>
        <v>1760.8</v>
      </c>
      <c r="S85" s="1445"/>
      <c r="T85" s="1445">
        <f>ROUND(SUM(T37+T81+T83),1)</f>
        <v>2384.1</v>
      </c>
      <c r="U85" s="1445"/>
      <c r="V85" s="1445">
        <f>ROUND(SUM(V37+V81+V83),1)</f>
        <v>3693</v>
      </c>
      <c r="W85" s="1445"/>
      <c r="X85" s="1445">
        <f>ROUND(SUM(X37+X81+X83),1)</f>
        <v>0</v>
      </c>
      <c r="Y85" s="1445"/>
      <c r="Z85" s="1445">
        <f>ROUND(SUM(Z37+Z81+Z83),1)</f>
        <v>0</v>
      </c>
      <c r="AA85" s="1445"/>
      <c r="AB85" s="1445"/>
      <c r="AC85" s="2019"/>
      <c r="AD85" s="2029">
        <f>ROUND(SUM(AD37+AD81+AD83),1)</f>
        <v>20803.3</v>
      </c>
      <c r="AE85" s="1446"/>
      <c r="AF85" s="3098"/>
      <c r="AG85" s="2029">
        <f>ROUND(SUM(AG37+AG81+AG83),1)</f>
        <v>18544.2</v>
      </c>
      <c r="AH85" s="279"/>
      <c r="AI85" s="73"/>
      <c r="AJ85" s="817">
        <f>ROUND(SUM(AJ37+AJ81+AJ83),1)</f>
        <v>2259.1</v>
      </c>
      <c r="AK85" s="281"/>
      <c r="AL85" s="1419">
        <f>ROUND(SUM((AD85-AG85)/ABS(AG85)),3)</f>
        <v>0.122</v>
      </c>
      <c r="AM85" s="773"/>
    </row>
    <row r="86" spans="1:39" ht="15" customHeight="1">
      <c r="A86" s="147"/>
      <c r="B86" s="28"/>
      <c r="C86" s="28"/>
      <c r="D86" s="677"/>
      <c r="E86" s="1511"/>
      <c r="F86" s="677"/>
      <c r="G86" s="1511"/>
      <c r="H86" s="677"/>
      <c r="I86" s="1511"/>
      <c r="J86" s="677"/>
      <c r="K86" s="63"/>
      <c r="L86" s="85"/>
      <c r="M86" s="63"/>
      <c r="N86" s="85"/>
      <c r="O86" s="63"/>
      <c r="P86" s="1984"/>
      <c r="Q86" s="1985"/>
      <c r="R86" s="1984"/>
      <c r="S86" s="1985"/>
      <c r="T86" s="1984"/>
      <c r="U86" s="1985"/>
      <c r="V86" s="1984"/>
      <c r="W86" s="1985"/>
      <c r="X86" s="1984"/>
      <c r="Y86" s="1985"/>
      <c r="Z86" s="1984"/>
      <c r="AA86" s="1986"/>
      <c r="AB86" s="1985"/>
      <c r="AC86" s="2016"/>
      <c r="AD86" s="2030"/>
      <c r="AE86" s="1956"/>
      <c r="AF86" s="1976"/>
      <c r="AG86" s="2030"/>
      <c r="AH86" s="272"/>
      <c r="AI86" s="53"/>
      <c r="AJ86" s="634"/>
      <c r="AK86" s="908"/>
      <c r="AL86" s="1416"/>
      <c r="AM86" s="773"/>
    </row>
    <row r="87" spans="1:39" ht="15" customHeight="1">
      <c r="A87" s="147"/>
      <c r="B87" s="170" t="s">
        <v>22</v>
      </c>
      <c r="C87" s="28"/>
      <c r="D87" s="1511"/>
      <c r="E87" s="1511"/>
      <c r="F87" s="1511"/>
      <c r="G87" s="1511"/>
      <c r="H87" s="1511"/>
      <c r="I87" s="1511"/>
      <c r="J87" s="1511"/>
      <c r="K87" s="63"/>
      <c r="L87" s="63"/>
      <c r="M87" s="63"/>
      <c r="N87" s="63"/>
      <c r="O87" s="63"/>
      <c r="P87" s="1985"/>
      <c r="Q87" s="1985"/>
      <c r="R87" s="1985"/>
      <c r="S87" s="1985"/>
      <c r="T87" s="1985"/>
      <c r="U87" s="1985"/>
      <c r="V87" s="1985"/>
      <c r="W87" s="1985"/>
      <c r="X87" s="1985"/>
      <c r="Y87" s="1985"/>
      <c r="Z87" s="1985"/>
      <c r="AA87" s="1985"/>
      <c r="AB87" s="1985"/>
      <c r="AC87" s="2016"/>
      <c r="AD87" s="1974"/>
      <c r="AE87" s="1956"/>
      <c r="AF87" s="1976"/>
      <c r="AG87" s="1974"/>
      <c r="AH87" s="272"/>
      <c r="AI87" s="53"/>
      <c r="AJ87" s="634"/>
      <c r="AK87" s="908"/>
      <c r="AL87" s="1416"/>
      <c r="AM87" s="773"/>
    </row>
    <row r="88" spans="1:39" ht="12.75" customHeight="1">
      <c r="A88" s="147"/>
      <c r="B88" s="679" t="s">
        <v>150</v>
      </c>
      <c r="C88" s="28"/>
      <c r="D88" s="671"/>
      <c r="E88" s="1511"/>
      <c r="F88" s="671"/>
      <c r="G88" s="1511"/>
      <c r="H88" s="1511"/>
      <c r="I88" s="1511"/>
      <c r="J88" s="884"/>
      <c r="K88" s="63"/>
      <c r="L88" s="74"/>
      <c r="M88" s="63"/>
      <c r="N88" s="74"/>
      <c r="O88" s="63"/>
      <c r="P88" s="1994"/>
      <c r="Q88" s="1985"/>
      <c r="R88" s="1994"/>
      <c r="S88" s="1985"/>
      <c r="T88" s="1994"/>
      <c r="U88" s="1985"/>
      <c r="V88" s="1985"/>
      <c r="W88" s="1985"/>
      <c r="X88" s="1994"/>
      <c r="Y88" s="1985"/>
      <c r="Z88" s="1985"/>
      <c r="AA88" s="1985"/>
      <c r="AB88" s="1985"/>
      <c r="AC88" s="2016"/>
      <c r="AD88" s="1972"/>
      <c r="AE88" s="1974"/>
      <c r="AF88" s="1976"/>
      <c r="AG88" s="1972"/>
      <c r="AH88" s="272"/>
      <c r="AI88" s="53"/>
      <c r="AJ88" s="634"/>
      <c r="AK88" s="908"/>
      <c r="AL88" s="1431"/>
      <c r="AM88" s="773"/>
    </row>
    <row r="89" spans="1:39" s="875" customFormat="1" ht="15" customHeight="1">
      <c r="A89" s="1058"/>
      <c r="B89" s="1792" t="s">
        <v>24</v>
      </c>
      <c r="C89" s="104"/>
      <c r="D89" s="884">
        <v>0.9</v>
      </c>
      <c r="E89" s="1511"/>
      <c r="F89" s="884">
        <v>-2.9</v>
      </c>
      <c r="G89" s="1511"/>
      <c r="H89" s="884">
        <v>328</v>
      </c>
      <c r="I89" s="1511"/>
      <c r="J89" s="3822">
        <v>0</v>
      </c>
      <c r="K89" s="1517"/>
      <c r="L89" s="3822">
        <v>0.19999999999998863</v>
      </c>
      <c r="M89" s="1517"/>
      <c r="N89" s="3822">
        <v>2353.3000000000002</v>
      </c>
      <c r="O89" s="1517"/>
      <c r="P89" s="3822">
        <v>118.19999999999982</v>
      </c>
      <c r="Q89" s="1977"/>
      <c r="R89" s="1768">
        <v>114.40000000000009</v>
      </c>
      <c r="S89" s="1977"/>
      <c r="T89" s="3822">
        <v>127.40000000000009</v>
      </c>
      <c r="U89" s="1977"/>
      <c r="V89" s="3822">
        <f>$AD89-$D89-$F89-$H89-$J89-$L89-$N89-$P89-$R89-$T89</f>
        <v>1963.6000000000004</v>
      </c>
      <c r="W89" s="1977"/>
      <c r="X89" s="1768"/>
      <c r="Y89" s="1977"/>
      <c r="Z89" s="1768"/>
      <c r="AA89" s="1978"/>
      <c r="AB89" s="1979"/>
      <c r="AC89" s="1981"/>
      <c r="AD89" s="1768">
        <v>5003.1000000000004</v>
      </c>
      <c r="AE89" s="2011"/>
      <c r="AF89" s="3114"/>
      <c r="AG89" s="1768">
        <v>5222.8</v>
      </c>
      <c r="AH89" s="1061"/>
      <c r="AI89" s="64"/>
      <c r="AJ89" s="883">
        <f>ROUND(SUM(+AD89-AG89),1)</f>
        <v>-219.7</v>
      </c>
      <c r="AK89" s="883"/>
      <c r="AL89" s="1708">
        <f>ROUND(IF(AG89=0,1,AJ89/ABS(AG89)),3)</f>
        <v>-4.2000000000000003E-2</v>
      </c>
      <c r="AM89" s="1798"/>
    </row>
    <row r="90" spans="1:39" s="875" customFormat="1" ht="15" customHeight="1">
      <c r="A90" s="1058"/>
      <c r="B90" s="1792" t="s">
        <v>25</v>
      </c>
      <c r="C90" s="104"/>
      <c r="D90" s="884">
        <v>0.1</v>
      </c>
      <c r="E90" s="1511"/>
      <c r="F90" s="884">
        <v>0.19999999999999998</v>
      </c>
      <c r="G90" s="1511"/>
      <c r="H90" s="884">
        <v>0.10000000000000006</v>
      </c>
      <c r="I90" s="1511"/>
      <c r="J90" s="3822">
        <v>0.5</v>
      </c>
      <c r="K90" s="1517"/>
      <c r="L90" s="3822">
        <v>0.7</v>
      </c>
      <c r="M90" s="1517"/>
      <c r="N90" s="3822">
        <v>0.19999999999999996</v>
      </c>
      <c r="O90" s="1517"/>
      <c r="P90" s="3822">
        <v>0</v>
      </c>
      <c r="Q90" s="1977"/>
      <c r="R90" s="1768">
        <v>0.19999999999999996</v>
      </c>
      <c r="S90" s="1977"/>
      <c r="T90" s="3822">
        <v>0.49999999999999978</v>
      </c>
      <c r="U90" s="1977"/>
      <c r="V90" s="3822">
        <f>$AD90-$D90-$F90-$H90-$J90-$L90-$N90-$P90-$R90-$T90</f>
        <v>0.89999999999999991</v>
      </c>
      <c r="W90" s="1977"/>
      <c r="X90" s="1768"/>
      <c r="Y90" s="1977"/>
      <c r="Z90" s="1768"/>
      <c r="AA90" s="1978"/>
      <c r="AB90" s="1979"/>
      <c r="AC90" s="1981"/>
      <c r="AD90" s="1768">
        <v>3.4</v>
      </c>
      <c r="AE90" s="2011"/>
      <c r="AF90" s="3114"/>
      <c r="AG90" s="1768">
        <v>1.8</v>
      </c>
      <c r="AH90" s="1061"/>
      <c r="AI90" s="64"/>
      <c r="AJ90" s="883">
        <f>ROUND(SUM(+AD90-AG90),1)</f>
        <v>1.6</v>
      </c>
      <c r="AK90" s="883"/>
      <c r="AL90" s="1797">
        <f>ROUND(IF(AG90=0,1,AJ90/ABS(AG90)),3)</f>
        <v>0.88900000000000001</v>
      </c>
      <c r="AM90" s="1798"/>
    </row>
    <row r="91" spans="1:39" s="875" customFormat="1" ht="15" customHeight="1">
      <c r="A91" s="1058"/>
      <c r="B91" s="1792" t="s">
        <v>26</v>
      </c>
      <c r="C91" s="104"/>
      <c r="D91" s="884">
        <v>10.1</v>
      </c>
      <c r="E91" s="1511"/>
      <c r="F91" s="884">
        <v>18</v>
      </c>
      <c r="G91" s="1511"/>
      <c r="H91" s="884">
        <v>5.6999999999999957</v>
      </c>
      <c r="I91" s="1511"/>
      <c r="J91" s="3822">
        <v>16.700000000000003</v>
      </c>
      <c r="K91" s="1517"/>
      <c r="L91" s="3822">
        <v>25.1</v>
      </c>
      <c r="M91" s="1517"/>
      <c r="N91" s="3822">
        <v>9.9000000000000057</v>
      </c>
      <c r="O91" s="1517"/>
      <c r="P91" s="3822">
        <v>2.0999999999999943</v>
      </c>
      <c r="Q91" s="1977"/>
      <c r="R91" s="1768">
        <v>36.400000000000013</v>
      </c>
      <c r="S91" s="1977"/>
      <c r="T91" s="3822">
        <v>14.699999999999989</v>
      </c>
      <c r="U91" s="1977"/>
      <c r="V91" s="3822">
        <f>$AD91-$D91-$F91-$H91-$J91-$L91-$N91-$P91-$R91-$T91</f>
        <v>16.999999999999993</v>
      </c>
      <c r="W91" s="1977"/>
      <c r="X91" s="1768"/>
      <c r="Y91" s="1977"/>
      <c r="Z91" s="1768"/>
      <c r="AA91" s="1978"/>
      <c r="AB91" s="1979"/>
      <c r="AC91" s="1981"/>
      <c r="AD91" s="1768">
        <v>155.69999999999999</v>
      </c>
      <c r="AE91" s="2011"/>
      <c r="AF91" s="3114"/>
      <c r="AG91" s="1768">
        <v>133.20000000000002</v>
      </c>
      <c r="AH91" s="1061"/>
      <c r="AI91" s="64"/>
      <c r="AJ91" s="883">
        <f>ROUND(SUM(+AD91-AG91),1)</f>
        <v>22.5</v>
      </c>
      <c r="AK91" s="883"/>
      <c r="AL91" s="1797">
        <f>ROUND(IF(AG91=0,0,AJ91/ABS(AG91)),3)</f>
        <v>0.16900000000000001</v>
      </c>
      <c r="AM91" s="1798"/>
    </row>
    <row r="92" spans="1:39" s="875" customFormat="1" ht="15" customHeight="1">
      <c r="A92" s="1058"/>
      <c r="B92" s="679" t="s">
        <v>1186</v>
      </c>
      <c r="C92" s="104"/>
      <c r="D92" s="884" t="s">
        <v>14</v>
      </c>
      <c r="E92" s="1511"/>
      <c r="F92" s="884" t="s">
        <v>14</v>
      </c>
      <c r="G92" s="1511"/>
      <c r="H92" s="884" t="s">
        <v>14</v>
      </c>
      <c r="I92" s="1511"/>
      <c r="J92" s="884"/>
      <c r="K92" s="1517"/>
      <c r="L92" s="3822"/>
      <c r="M92" s="1517"/>
      <c r="N92" s="3822"/>
      <c r="O92" s="1517"/>
      <c r="P92" s="3822"/>
      <c r="Q92" s="1977"/>
      <c r="R92" s="1768"/>
      <c r="S92" s="1977"/>
      <c r="T92" s="3822"/>
      <c r="U92" s="1977"/>
      <c r="V92" s="1768"/>
      <c r="W92" s="1977"/>
      <c r="X92" s="1768"/>
      <c r="Y92" s="1977"/>
      <c r="Z92" s="1768"/>
      <c r="AA92" s="1978"/>
      <c r="AB92" s="1979"/>
      <c r="AC92" s="1981"/>
      <c r="AD92" s="1768"/>
      <c r="AE92" s="2011"/>
      <c r="AF92" s="3114"/>
      <c r="AG92" s="1768"/>
      <c r="AH92" s="1061"/>
      <c r="AI92" s="64"/>
      <c r="AJ92" s="883"/>
      <c r="AK92" s="879"/>
      <c r="AL92" s="1797"/>
      <c r="AM92" s="1798"/>
    </row>
    <row r="93" spans="1:39" s="875" customFormat="1" ht="15" customHeight="1">
      <c r="A93" s="1058"/>
      <c r="B93" s="1793" t="s">
        <v>28</v>
      </c>
      <c r="C93" s="104"/>
      <c r="D93" s="884">
        <v>386.9</v>
      </c>
      <c r="E93" s="1511"/>
      <c r="F93" s="884">
        <v>461.4</v>
      </c>
      <c r="G93" s="1511"/>
      <c r="H93" s="884">
        <v>421.90000000000009</v>
      </c>
      <c r="I93" s="1511"/>
      <c r="J93" s="3822">
        <v>441.1</v>
      </c>
      <c r="K93" s="1517"/>
      <c r="L93" s="3822">
        <v>463.49999999999989</v>
      </c>
      <c r="M93" s="1517"/>
      <c r="N93" s="3822">
        <v>472.19999999999982</v>
      </c>
      <c r="O93" s="1517"/>
      <c r="P93" s="3822">
        <v>496.00000000000011</v>
      </c>
      <c r="Q93" s="1977"/>
      <c r="R93" s="1768">
        <v>642.4</v>
      </c>
      <c r="S93" s="1977"/>
      <c r="T93" s="3822">
        <v>427.1</v>
      </c>
      <c r="U93" s="1977"/>
      <c r="V93" s="3822">
        <f>$AD93-$D93-$F93-$H93-$J93-$L93-$N93-$P93-$R93-$T93</f>
        <v>466.70000000000027</v>
      </c>
      <c r="W93" s="1977"/>
      <c r="X93" s="1768"/>
      <c r="Y93" s="1977"/>
      <c r="Z93" s="1768"/>
      <c r="AA93" s="1978"/>
      <c r="AB93" s="1979"/>
      <c r="AC93" s="1981"/>
      <c r="AD93" s="1768">
        <v>4679.2</v>
      </c>
      <c r="AE93" s="2011"/>
      <c r="AF93" s="3114"/>
      <c r="AG93" s="1768">
        <v>4632.7</v>
      </c>
      <c r="AH93" s="1061"/>
      <c r="AI93" s="64"/>
      <c r="AJ93" s="883">
        <f t="shared" ref="AJ93:AJ98" si="19">ROUND(SUM(+AD93-AG93),1)</f>
        <v>46.5</v>
      </c>
      <c r="AK93" s="883"/>
      <c r="AL93" s="1808">
        <f t="shared" ref="AL93:AL98" si="20">ROUND(IF(AG93=0,0,AJ93/ABS(AG93)),3)</f>
        <v>0.01</v>
      </c>
      <c r="AM93" s="1798"/>
    </row>
    <row r="94" spans="1:39" s="875" customFormat="1" ht="15" customHeight="1">
      <c r="A94" s="1058"/>
      <c r="B94" s="1792" t="s">
        <v>29</v>
      </c>
      <c r="C94" s="104"/>
      <c r="D94" s="884">
        <v>37.299999999999997</v>
      </c>
      <c r="E94" s="1511"/>
      <c r="F94" s="884">
        <v>47.2</v>
      </c>
      <c r="G94" s="1511"/>
      <c r="H94" s="884">
        <v>187</v>
      </c>
      <c r="I94" s="1511"/>
      <c r="J94" s="3822">
        <v>55.800000000000011</v>
      </c>
      <c r="K94" s="1517"/>
      <c r="L94" s="3822">
        <v>130.69999999999999</v>
      </c>
      <c r="M94" s="1517"/>
      <c r="N94" s="3822">
        <v>118.00000000000006</v>
      </c>
      <c r="O94" s="1517"/>
      <c r="P94" s="3822">
        <v>76.199999999999989</v>
      </c>
      <c r="Q94" s="1977"/>
      <c r="R94" s="1768">
        <v>85.799999999999955</v>
      </c>
      <c r="S94" s="1977"/>
      <c r="T94" s="3822">
        <v>131.7000000000001</v>
      </c>
      <c r="U94" s="1977"/>
      <c r="V94" s="3822">
        <f>$AD94-$D94-$F94-$H94-$J94-$L94-$N94-$P94-$R94-$T94</f>
        <v>61.699999999999818</v>
      </c>
      <c r="W94" s="1977"/>
      <c r="X94" s="1768"/>
      <c r="Y94" s="1977"/>
      <c r="Z94" s="1768"/>
      <c r="AA94" s="1978"/>
      <c r="AB94" s="1979"/>
      <c r="AC94" s="1981"/>
      <c r="AD94" s="1768">
        <v>931.4</v>
      </c>
      <c r="AE94" s="2011"/>
      <c r="AF94" s="3114"/>
      <c r="AG94" s="1768">
        <v>729</v>
      </c>
      <c r="AH94" s="1061"/>
      <c r="AI94" s="64"/>
      <c r="AJ94" s="883">
        <f t="shared" si="19"/>
        <v>202.4</v>
      </c>
      <c r="AK94" s="883"/>
      <c r="AL94" s="1797">
        <f t="shared" si="20"/>
        <v>0.27800000000000002</v>
      </c>
      <c r="AM94" s="1798"/>
    </row>
    <row r="95" spans="1:39" s="875" customFormat="1" ht="15" customHeight="1">
      <c r="A95" s="1058"/>
      <c r="B95" s="1792" t="s">
        <v>30</v>
      </c>
      <c r="C95" s="104"/>
      <c r="D95" s="884">
        <v>19.3</v>
      </c>
      <c r="E95" s="1511"/>
      <c r="F95" s="884">
        <v>19.999999999999996</v>
      </c>
      <c r="G95" s="1511"/>
      <c r="H95" s="884">
        <v>30.200000000000006</v>
      </c>
      <c r="I95" s="1511"/>
      <c r="J95" s="3822">
        <v>11.499999999999996</v>
      </c>
      <c r="K95" s="1517"/>
      <c r="L95" s="3822">
        <v>22.900000000000009</v>
      </c>
      <c r="M95" s="1517"/>
      <c r="N95" s="3822">
        <v>21.199999999999985</v>
      </c>
      <c r="O95" s="1517"/>
      <c r="P95" s="3822">
        <v>17.800000000000015</v>
      </c>
      <c r="Q95" s="1977"/>
      <c r="R95" s="1768">
        <v>35.59999999999998</v>
      </c>
      <c r="S95" s="1977"/>
      <c r="T95" s="3822">
        <v>20.09999999999998</v>
      </c>
      <c r="U95" s="1977"/>
      <c r="V95" s="3822">
        <f>$AD95-$D95-$F95-$H95-$J95-$L95-$N95-$P95-$R95-$T95</f>
        <v>17.700000000000017</v>
      </c>
      <c r="W95" s="1977"/>
      <c r="X95" s="1768"/>
      <c r="Y95" s="1977"/>
      <c r="Z95" s="1768"/>
      <c r="AA95" s="1978"/>
      <c r="AB95" s="1979"/>
      <c r="AC95" s="1981"/>
      <c r="AD95" s="1768">
        <v>216.3</v>
      </c>
      <c r="AE95" s="2011"/>
      <c r="AF95" s="3114"/>
      <c r="AG95" s="1768">
        <v>117.4</v>
      </c>
      <c r="AH95" s="1061"/>
      <c r="AI95" s="64"/>
      <c r="AJ95" s="883">
        <f t="shared" si="19"/>
        <v>98.9</v>
      </c>
      <c r="AK95" s="883"/>
      <c r="AL95" s="1797">
        <f t="shared" si="20"/>
        <v>0.84199999999999997</v>
      </c>
      <c r="AM95" s="1798"/>
    </row>
    <row r="96" spans="1:39" s="875" customFormat="1" ht="15" customHeight="1">
      <c r="A96" s="1058"/>
      <c r="B96" s="1792" t="s">
        <v>31</v>
      </c>
      <c r="C96" s="104"/>
      <c r="D96" s="884">
        <v>0.2</v>
      </c>
      <c r="E96" s="1511"/>
      <c r="F96" s="884">
        <v>0.2</v>
      </c>
      <c r="G96" s="1511"/>
      <c r="H96" s="884">
        <v>0.49999999999999994</v>
      </c>
      <c r="I96" s="1511"/>
      <c r="J96" s="3822">
        <v>0</v>
      </c>
      <c r="K96" s="1517"/>
      <c r="L96" s="3822">
        <v>0.20000000000000023</v>
      </c>
      <c r="M96" s="1517"/>
      <c r="N96" s="3822">
        <v>0.19999999999999996</v>
      </c>
      <c r="O96" s="1517"/>
      <c r="P96" s="3822">
        <v>0.1999999999999999</v>
      </c>
      <c r="Q96" s="1977"/>
      <c r="R96" s="1768">
        <v>0.7</v>
      </c>
      <c r="S96" s="1977"/>
      <c r="T96" s="3822">
        <v>0.39999999999999969</v>
      </c>
      <c r="U96" s="1977"/>
      <c r="V96" s="3822">
        <f t="shared" ref="V96:V98" si="21">$AD96-$D96-$F96-$H96-$J96-$L96-$N96-$P96-$R96-$T96</f>
        <v>0.19999999999999973</v>
      </c>
      <c r="W96" s="1977"/>
      <c r="X96" s="1768"/>
      <c r="Y96" s="1977"/>
      <c r="Z96" s="1768"/>
      <c r="AA96" s="1978"/>
      <c r="AB96" s="1979"/>
      <c r="AC96" s="1981"/>
      <c r="AD96" s="1768">
        <v>2.8</v>
      </c>
      <c r="AE96" s="2011"/>
      <c r="AF96" s="3114"/>
      <c r="AG96" s="1768">
        <v>0.6</v>
      </c>
      <c r="AH96" s="1061"/>
      <c r="AI96" s="64"/>
      <c r="AJ96" s="883">
        <f t="shared" si="19"/>
        <v>2.2000000000000002</v>
      </c>
      <c r="AK96" s="883"/>
      <c r="AL96" s="1797">
        <f t="shared" si="20"/>
        <v>3.6669999999999998</v>
      </c>
      <c r="AM96" s="1798"/>
    </row>
    <row r="97" spans="1:39" s="875" customFormat="1" ht="15" customHeight="1">
      <c r="A97" s="1058"/>
      <c r="B97" s="1792" t="s">
        <v>32</v>
      </c>
      <c r="C97" s="104"/>
      <c r="D97" s="884">
        <v>0.3</v>
      </c>
      <c r="E97" s="1511"/>
      <c r="F97" s="884">
        <v>2.2000000000000002</v>
      </c>
      <c r="G97" s="1511"/>
      <c r="H97" s="884">
        <v>1.4</v>
      </c>
      <c r="I97" s="1511"/>
      <c r="J97" s="3822">
        <v>1.4</v>
      </c>
      <c r="K97" s="1517"/>
      <c r="L97" s="3822">
        <v>2.1000000000000005</v>
      </c>
      <c r="M97" s="1517"/>
      <c r="N97" s="3822">
        <v>14.8</v>
      </c>
      <c r="O97" s="1517"/>
      <c r="P97" s="3822">
        <v>2.3000000000000007</v>
      </c>
      <c r="Q97" s="1977"/>
      <c r="R97" s="1768">
        <v>1</v>
      </c>
      <c r="S97" s="1977"/>
      <c r="T97" s="3822">
        <v>19.100000000000001</v>
      </c>
      <c r="U97" s="1977"/>
      <c r="V97" s="3822">
        <f>$AD97-$D97-$F97-$H97-$J97-$L97-$N97-$P97-$R97-$T97</f>
        <v>9.3999999999999986</v>
      </c>
      <c r="W97" s="1977"/>
      <c r="X97" s="1768"/>
      <c r="Y97" s="1977"/>
      <c r="Z97" s="1768"/>
      <c r="AA97" s="1978"/>
      <c r="AB97" s="1979"/>
      <c r="AC97" s="1981"/>
      <c r="AD97" s="1768">
        <v>54</v>
      </c>
      <c r="AE97" s="2011"/>
      <c r="AF97" s="3114"/>
      <c r="AG97" s="1768">
        <v>38.6</v>
      </c>
      <c r="AH97" s="1061"/>
      <c r="AI97" s="64"/>
      <c r="AJ97" s="883">
        <f t="shared" si="19"/>
        <v>15.4</v>
      </c>
      <c r="AK97" s="883"/>
      <c r="AL97" s="1797">
        <f t="shared" si="20"/>
        <v>0.39900000000000002</v>
      </c>
      <c r="AM97" s="1798"/>
    </row>
    <row r="98" spans="1:39" s="875" customFormat="1" ht="15" customHeight="1">
      <c r="A98" s="1058"/>
      <c r="B98" s="1792" t="s">
        <v>33</v>
      </c>
      <c r="C98" s="104"/>
      <c r="D98" s="884">
        <v>199</v>
      </c>
      <c r="E98" s="1511"/>
      <c r="F98" s="884">
        <v>407.69999999999993</v>
      </c>
      <c r="G98" s="1511"/>
      <c r="H98" s="884">
        <v>283.30000000000007</v>
      </c>
      <c r="I98" s="1511"/>
      <c r="J98" s="3822">
        <v>299.79999999999995</v>
      </c>
      <c r="K98" s="1517"/>
      <c r="L98" s="3822">
        <v>409.79999999999995</v>
      </c>
      <c r="M98" s="1517"/>
      <c r="N98" s="3822">
        <v>271.8000000000003</v>
      </c>
      <c r="O98" s="1517"/>
      <c r="P98" s="3822">
        <v>283.1999999999997</v>
      </c>
      <c r="Q98" s="1977"/>
      <c r="R98" s="1768">
        <v>512.80000000000018</v>
      </c>
      <c r="S98" s="1977"/>
      <c r="T98" s="3822">
        <v>763.5</v>
      </c>
      <c r="U98" s="1977"/>
      <c r="V98" s="3822">
        <f t="shared" si="21"/>
        <v>69.699999999999818</v>
      </c>
      <c r="W98" s="1977"/>
      <c r="X98" s="1768"/>
      <c r="Y98" s="1977"/>
      <c r="Z98" s="1768"/>
      <c r="AA98" s="1978"/>
      <c r="AB98" s="1979"/>
      <c r="AC98" s="1981"/>
      <c r="AD98" s="1768">
        <v>3500.6</v>
      </c>
      <c r="AE98" s="2011"/>
      <c r="AF98" s="3114"/>
      <c r="AG98" s="1768">
        <v>2923</v>
      </c>
      <c r="AH98" s="1061"/>
      <c r="AI98" s="64"/>
      <c r="AJ98" s="883">
        <f t="shared" si="19"/>
        <v>577.6</v>
      </c>
      <c r="AK98" s="883"/>
      <c r="AL98" s="1797">
        <f t="shared" si="20"/>
        <v>0.19800000000000001</v>
      </c>
      <c r="AM98" s="1798"/>
    </row>
    <row r="99" spans="1:39" ht="15" customHeight="1">
      <c r="A99" s="147"/>
      <c r="B99" s="26" t="s">
        <v>1088</v>
      </c>
      <c r="C99" s="28"/>
      <c r="D99" s="291">
        <f>ROUND(SUM(D89:D98),1)</f>
        <v>654.1</v>
      </c>
      <c r="E99" s="910"/>
      <c r="F99" s="291">
        <f>ROUND(SUM(F89:F98),1)</f>
        <v>954</v>
      </c>
      <c r="G99" s="910"/>
      <c r="H99" s="291">
        <f>ROUND(SUM(H89:H98),1)</f>
        <v>1258.0999999999999</v>
      </c>
      <c r="I99" s="910"/>
      <c r="J99" s="291">
        <f>ROUND(SUM(J89:J98),1)</f>
        <v>826.8</v>
      </c>
      <c r="K99" s="910"/>
      <c r="L99" s="291">
        <f>ROUND(SUM(L89:L98),1)</f>
        <v>1055.2</v>
      </c>
      <c r="M99" s="910"/>
      <c r="N99" s="291">
        <f>ROUND(SUM(N89:N98),1)</f>
        <v>3261.6</v>
      </c>
      <c r="O99" s="910"/>
      <c r="P99" s="1995">
        <f>ROUND(SUM(P89:P98),1)</f>
        <v>996</v>
      </c>
      <c r="Q99" s="1445"/>
      <c r="R99" s="1995">
        <f>ROUND(SUM(R89:R98),1)</f>
        <v>1429.3</v>
      </c>
      <c r="S99" s="1445"/>
      <c r="T99" s="1995">
        <f>ROUND(SUM(T89:T98),1)</f>
        <v>1504.5</v>
      </c>
      <c r="U99" s="1445"/>
      <c r="V99" s="1995">
        <f>ROUND(SUM(V89:V98),1)</f>
        <v>2606.9</v>
      </c>
      <c r="W99" s="1445"/>
      <c r="X99" s="1995">
        <f>ROUND(SUM(X89:X98),1)</f>
        <v>0</v>
      </c>
      <c r="Y99" s="1445"/>
      <c r="Z99" s="1995">
        <f>ROUND(SUM(Z89:Z98),1)</f>
        <v>0</v>
      </c>
      <c r="AA99" s="1428"/>
      <c r="AB99" s="1445"/>
      <c r="AC99" s="2019"/>
      <c r="AD99" s="1996">
        <f>ROUND(SUM(AD89:AD98),1)</f>
        <v>14546.5</v>
      </c>
      <c r="AE99" s="1446"/>
      <c r="AF99" s="3098"/>
      <c r="AG99" s="1996">
        <f>ROUND(SUM(AG89:AG98),1)</f>
        <v>13799.1</v>
      </c>
      <c r="AH99" s="279"/>
      <c r="AI99" s="73"/>
      <c r="AJ99" s="58">
        <f>ROUND(SUM(AD99-AG99),1)</f>
        <v>747.4</v>
      </c>
      <c r="AK99" s="163"/>
      <c r="AL99" s="1418">
        <f>ROUND(SUM((AD99-AG99)/ABS(AG99)),3)</f>
        <v>5.3999999999999999E-2</v>
      </c>
      <c r="AM99" s="773"/>
    </row>
    <row r="100" spans="1:39" ht="15" customHeight="1">
      <c r="A100" s="147"/>
      <c r="B100" s="28" t="s">
        <v>168</v>
      </c>
      <c r="C100" s="28"/>
      <c r="D100" s="1511"/>
      <c r="E100" s="1511"/>
      <c r="F100" s="1511"/>
      <c r="G100" s="1511"/>
      <c r="H100" s="1511"/>
      <c r="I100" s="1511"/>
      <c r="J100" s="1511"/>
      <c r="K100" s="63"/>
      <c r="L100" s="63"/>
      <c r="M100" s="63"/>
      <c r="N100" s="63"/>
      <c r="O100" s="63"/>
      <c r="P100" s="1985"/>
      <c r="Q100" s="1985"/>
      <c r="R100" s="1985"/>
      <c r="S100" s="1985"/>
      <c r="T100" s="1985"/>
      <c r="U100" s="1985"/>
      <c r="V100" s="1985"/>
      <c r="W100" s="1985"/>
      <c r="X100" s="1985"/>
      <c r="Y100" s="1985"/>
      <c r="Z100" s="1985"/>
      <c r="AA100" s="1985"/>
      <c r="AB100" s="1985"/>
      <c r="AC100" s="2016"/>
      <c r="AD100" s="1974"/>
      <c r="AE100" s="1974"/>
      <c r="AF100" s="1976"/>
      <c r="AG100" s="1974"/>
      <c r="AH100" s="272"/>
      <c r="AI100" s="53"/>
      <c r="AJ100" s="634"/>
      <c r="AK100" s="908"/>
      <c r="AL100" s="1416"/>
      <c r="AM100" s="773"/>
    </row>
    <row r="101" spans="1:39" s="875" customFormat="1" ht="15" customHeight="1">
      <c r="A101" s="1058"/>
      <c r="B101" s="104" t="s">
        <v>152</v>
      </c>
      <c r="C101" s="104"/>
      <c r="D101" s="884">
        <v>399.6</v>
      </c>
      <c r="E101" s="1511"/>
      <c r="F101" s="884">
        <v>406</v>
      </c>
      <c r="G101" s="1511"/>
      <c r="H101" s="884">
        <v>327.60000000000002</v>
      </c>
      <c r="I101" s="1511"/>
      <c r="J101" s="3822">
        <v>409.4</v>
      </c>
      <c r="K101" s="1517"/>
      <c r="L101" s="3822">
        <v>387.40000000000009</v>
      </c>
      <c r="M101" s="1517"/>
      <c r="N101" s="3822">
        <v>595.4000000000002</v>
      </c>
      <c r="O101" s="1517"/>
      <c r="P101" s="3822">
        <v>378.99999999999989</v>
      </c>
      <c r="Q101" s="1977"/>
      <c r="R101" s="1768">
        <v>470.19999999999982</v>
      </c>
      <c r="S101" s="1977"/>
      <c r="T101" s="3822">
        <v>418.8000000000003</v>
      </c>
      <c r="U101" s="1977"/>
      <c r="V101" s="3822">
        <f>$AD101-$D101-$F101-$H101-$J101-$L101-$N101-$P101-$R101-$T101</f>
        <v>384.20000000000016</v>
      </c>
      <c r="W101" s="1977"/>
      <c r="X101" s="1768"/>
      <c r="Y101" s="1977"/>
      <c r="Z101" s="1768"/>
      <c r="AA101" s="1978"/>
      <c r="AB101" s="1979"/>
      <c r="AC101" s="1981"/>
      <c r="AD101" s="1768">
        <v>4177.6000000000004</v>
      </c>
      <c r="AE101" s="2011"/>
      <c r="AF101" s="3114"/>
      <c r="AG101" s="1768">
        <v>4202.3</v>
      </c>
      <c r="AH101" s="1061"/>
      <c r="AI101" s="64"/>
      <c r="AJ101" s="883">
        <f>ROUND(SUM(+AD101-AG101),1)</f>
        <v>-24.7</v>
      </c>
      <c r="AK101" s="883"/>
      <c r="AL101" s="1797">
        <f>ROUND(IF(AG101=0,0,AJ101/ABS(AG101)),3)</f>
        <v>-6.0000000000000001E-3</v>
      </c>
      <c r="AM101" s="1798"/>
    </row>
    <row r="102" spans="1:39" s="875" customFormat="1" ht="15" customHeight="1">
      <c r="A102" s="1058"/>
      <c r="B102" s="104" t="s">
        <v>169</v>
      </c>
      <c r="C102" s="104"/>
      <c r="D102" s="884">
        <v>225.6</v>
      </c>
      <c r="E102" s="1511"/>
      <c r="F102" s="884">
        <v>233.9</v>
      </c>
      <c r="G102" s="1511"/>
      <c r="H102" s="884">
        <v>216.79999999999993</v>
      </c>
      <c r="I102" s="1511"/>
      <c r="J102" s="3822">
        <v>231.3000000000001</v>
      </c>
      <c r="K102" s="1517"/>
      <c r="L102" s="884">
        <v>263.60000000000002</v>
      </c>
      <c r="M102" s="1517"/>
      <c r="N102" s="3822">
        <v>235.30000000000007</v>
      </c>
      <c r="O102" s="1517"/>
      <c r="P102" s="3822">
        <v>208.0999999999998</v>
      </c>
      <c r="Q102" s="1977"/>
      <c r="R102" s="1768">
        <v>252.20000000000005</v>
      </c>
      <c r="S102" s="1977"/>
      <c r="T102" s="3822">
        <v>222.19999999999993</v>
      </c>
      <c r="U102" s="1977"/>
      <c r="V102" s="3822">
        <f>$AD102-$D102-$F102-$H102-$J102-$L102-$N102-$P102-$R102-$T102</f>
        <v>268.80000000000007</v>
      </c>
      <c r="W102" s="1977"/>
      <c r="X102" s="1768"/>
      <c r="Y102" s="1977"/>
      <c r="Z102" s="1768"/>
      <c r="AA102" s="1978"/>
      <c r="AB102" s="1979"/>
      <c r="AC102" s="1981"/>
      <c r="AD102" s="1768">
        <v>2357.8000000000002</v>
      </c>
      <c r="AE102" s="2011"/>
      <c r="AF102" s="3114"/>
      <c r="AG102" s="1768">
        <v>2087.6</v>
      </c>
      <c r="AH102" s="1061"/>
      <c r="AI102" s="64"/>
      <c r="AJ102" s="883">
        <f>ROUND(SUM(+AD102-AG102),1)</f>
        <v>270.2</v>
      </c>
      <c r="AK102" s="883"/>
      <c r="AL102" s="1797">
        <f>ROUND(IF(AG102=0,0,AJ102/ABS(AG102)),3)</f>
        <v>0.129</v>
      </c>
      <c r="AM102" s="1798"/>
    </row>
    <row r="103" spans="1:39" s="875" customFormat="1" ht="15" customHeight="1">
      <c r="A103" s="1058"/>
      <c r="B103" s="104" t="s">
        <v>170</v>
      </c>
      <c r="C103" s="104"/>
      <c r="D103" s="884">
        <v>59.8</v>
      </c>
      <c r="E103" s="1511"/>
      <c r="F103" s="884">
        <v>63.400000000000006</v>
      </c>
      <c r="G103" s="1511"/>
      <c r="H103" s="884">
        <v>76.599999999999994</v>
      </c>
      <c r="I103" s="1511"/>
      <c r="J103" s="3822">
        <v>118</v>
      </c>
      <c r="K103" s="1517"/>
      <c r="L103" s="3822">
        <v>66.000000000000028</v>
      </c>
      <c r="M103" s="1517"/>
      <c r="N103" s="3822">
        <v>88.899999999999949</v>
      </c>
      <c r="O103" s="1517"/>
      <c r="P103" s="3822">
        <v>62.799999999999955</v>
      </c>
      <c r="Q103" s="1977"/>
      <c r="R103" s="1768">
        <v>134.40000000000012</v>
      </c>
      <c r="S103" s="1977"/>
      <c r="T103" s="3822">
        <v>184.89999999999995</v>
      </c>
      <c r="U103" s="1977"/>
      <c r="V103" s="3822">
        <f>$AD103-$D103-$F103-$H103-$J103-$L103-$N103-$P103-$R103-$T103</f>
        <v>62.400000000000091</v>
      </c>
      <c r="W103" s="1977"/>
      <c r="X103" s="1768"/>
      <c r="Y103" s="1977"/>
      <c r="Z103" s="1768"/>
      <c r="AA103" s="1978"/>
      <c r="AB103" s="1979"/>
      <c r="AC103" s="1981"/>
      <c r="AD103" s="1768">
        <v>917.2</v>
      </c>
      <c r="AE103" s="2011"/>
      <c r="AF103" s="3114"/>
      <c r="AG103" s="1768">
        <v>738.40000000000009</v>
      </c>
      <c r="AH103" s="1061"/>
      <c r="AI103" s="64"/>
      <c r="AJ103" s="883">
        <f>ROUND(SUM(+AD103-AG103),1)</f>
        <v>178.8</v>
      </c>
      <c r="AK103" s="883"/>
      <c r="AL103" s="1797">
        <f>ROUND(IF(AG103=0,0,AJ103/ABS(AG103)),3)</f>
        <v>0.24199999999999999</v>
      </c>
      <c r="AM103" s="1798"/>
    </row>
    <row r="104" spans="1:39" s="875" customFormat="1" ht="15" customHeight="1">
      <c r="A104" s="1058"/>
      <c r="B104" s="104" t="s">
        <v>171</v>
      </c>
      <c r="C104" s="104"/>
      <c r="D104" s="884">
        <v>0</v>
      </c>
      <c r="E104" s="1511"/>
      <c r="F104" s="884">
        <v>0</v>
      </c>
      <c r="G104" s="1511"/>
      <c r="H104" s="884">
        <v>0</v>
      </c>
      <c r="I104" s="1511"/>
      <c r="J104" s="3822">
        <v>0</v>
      </c>
      <c r="K104" s="1517"/>
      <c r="L104" s="3822">
        <v>0</v>
      </c>
      <c r="M104" s="1517"/>
      <c r="N104" s="3822">
        <v>0</v>
      </c>
      <c r="O104" s="1517"/>
      <c r="P104" s="3822">
        <v>0</v>
      </c>
      <c r="Q104" s="1977"/>
      <c r="R104" s="1768">
        <v>0</v>
      </c>
      <c r="S104" s="1977"/>
      <c r="T104" s="3822">
        <v>0</v>
      </c>
      <c r="U104" s="1977"/>
      <c r="V104" s="3822">
        <f>$AD104-$D104-$F104-$H104-$J104-$L104-$N104-$P104-$R104-$T104</f>
        <v>0</v>
      </c>
      <c r="W104" s="1977"/>
      <c r="X104" s="1768"/>
      <c r="Y104" s="1977"/>
      <c r="Z104" s="1768"/>
      <c r="AA104" s="1978"/>
      <c r="AB104" s="1979"/>
      <c r="AC104" s="1981"/>
      <c r="AD104" s="1768">
        <v>0</v>
      </c>
      <c r="AE104" s="2011"/>
      <c r="AF104" s="3114"/>
      <c r="AG104" s="1768">
        <v>0</v>
      </c>
      <c r="AH104" s="1061"/>
      <c r="AI104" s="64"/>
      <c r="AJ104" s="883">
        <f>ROUND(SUM(+AD104-AG104),1)</f>
        <v>0</v>
      </c>
      <c r="AK104" s="883"/>
      <c r="AL104" s="1703">
        <f>ROUND(IF(AG104=0,0,AJ104/ABS(AG104)),3)</f>
        <v>0</v>
      </c>
      <c r="AM104" s="1798"/>
    </row>
    <row r="105" spans="1:39" ht="15" customHeight="1">
      <c r="A105" s="147"/>
      <c r="B105" s="28"/>
      <c r="C105" s="28"/>
      <c r="D105" s="677"/>
      <c r="E105" s="1511"/>
      <c r="F105" s="677"/>
      <c r="G105" s="1511"/>
      <c r="H105" s="677"/>
      <c r="I105" s="1511"/>
      <c r="J105" s="677"/>
      <c r="K105" s="63"/>
      <c r="L105" s="85"/>
      <c r="M105" s="63"/>
      <c r="N105" s="85"/>
      <c r="O105" s="63"/>
      <c r="P105" s="1984"/>
      <c r="Q105" s="1985"/>
      <c r="R105" s="1984"/>
      <c r="S105" s="1985"/>
      <c r="T105" s="1984"/>
      <c r="U105" s="1985"/>
      <c r="V105" s="1984"/>
      <c r="W105" s="1985"/>
      <c r="X105" s="1984"/>
      <c r="Y105" s="1985"/>
      <c r="Z105" s="1984"/>
      <c r="AA105" s="1986"/>
      <c r="AB105" s="1985"/>
      <c r="AC105" s="2016"/>
      <c r="AD105" s="2030"/>
      <c r="AE105" s="1956"/>
      <c r="AF105" s="1976"/>
      <c r="AG105" s="2030"/>
      <c r="AH105" s="272"/>
      <c r="AI105" s="53"/>
      <c r="AJ105" s="1392"/>
      <c r="AK105" s="908"/>
      <c r="AL105" s="1430"/>
      <c r="AM105" s="773"/>
    </row>
    <row r="106" spans="1:39" ht="15" customHeight="1">
      <c r="A106" s="147"/>
      <c r="B106" s="26" t="s">
        <v>155</v>
      </c>
      <c r="C106" s="28"/>
      <c r="D106" s="910">
        <f>ROUND(SUM(D99:D104),1)</f>
        <v>1339.1</v>
      </c>
      <c r="E106" s="910"/>
      <c r="F106" s="910">
        <f>ROUND(SUM(F99:F104),1)</f>
        <v>1657.3</v>
      </c>
      <c r="G106" s="910"/>
      <c r="H106" s="910">
        <f>ROUND(SUM(H99:H104),1)</f>
        <v>1879.1</v>
      </c>
      <c r="I106" s="910"/>
      <c r="J106" s="910">
        <f>ROUND(SUM(J99:J104),1)</f>
        <v>1585.5</v>
      </c>
      <c r="K106" s="910"/>
      <c r="L106" s="910">
        <f>ROUND(SUM(L99:L104),1)</f>
        <v>1772.2</v>
      </c>
      <c r="M106" s="910"/>
      <c r="N106" s="910">
        <f>ROUND(SUM(N99:N104),1)</f>
        <v>4181.2</v>
      </c>
      <c r="O106" s="910"/>
      <c r="P106" s="1445">
        <f>ROUND(SUM(P99:P104),1)</f>
        <v>1645.9</v>
      </c>
      <c r="Q106" s="1445"/>
      <c r="R106" s="1445">
        <f>ROUND(SUM(R99:R104),1)</f>
        <v>2286.1</v>
      </c>
      <c r="S106" s="1445"/>
      <c r="T106" s="1445">
        <f>ROUND(SUM(T99:T104),1)</f>
        <v>2330.4</v>
      </c>
      <c r="U106" s="1445"/>
      <c r="V106" s="1445">
        <f>ROUND(SUM(V99:V104),1)</f>
        <v>3322.3</v>
      </c>
      <c r="W106" s="1445"/>
      <c r="X106" s="1445">
        <f>ROUND(SUM(X99:X104),1)</f>
        <v>0</v>
      </c>
      <c r="Y106" s="1445"/>
      <c r="Z106" s="1445">
        <f>ROUND(SUM(Z99:Z104),1)</f>
        <v>0</v>
      </c>
      <c r="AA106" s="1445"/>
      <c r="AB106" s="1445"/>
      <c r="AC106" s="2019"/>
      <c r="AD106" s="2029">
        <f>ROUND(SUM(AD99:AD104),1)</f>
        <v>21999.1</v>
      </c>
      <c r="AE106" s="1446"/>
      <c r="AF106" s="3098"/>
      <c r="AG106" s="2029">
        <f>ROUND(SUM(AG99:AG104),1)</f>
        <v>20827.400000000001</v>
      </c>
      <c r="AH106" s="279"/>
      <c r="AI106" s="73"/>
      <c r="AJ106" s="71">
        <f>ROUND(SUM(AD106-AG106),1)</f>
        <v>1171.7</v>
      </c>
      <c r="AK106" s="207"/>
      <c r="AL106" s="1419">
        <f>ROUND(SUM((AD106-AG106)/ABS(AG106)),3)</f>
        <v>5.6000000000000001E-2</v>
      </c>
      <c r="AM106" s="773"/>
    </row>
    <row r="107" spans="1:39" ht="15" customHeight="1">
      <c r="A107" s="147"/>
      <c r="B107" s="28"/>
      <c r="C107" s="28"/>
      <c r="D107" s="677"/>
      <c r="E107" s="1511"/>
      <c r="F107" s="677"/>
      <c r="G107" s="1511"/>
      <c r="H107" s="677"/>
      <c r="I107" s="1511"/>
      <c r="J107" s="677"/>
      <c r="K107" s="63"/>
      <c r="L107" s="85"/>
      <c r="M107" s="63"/>
      <c r="N107" s="85"/>
      <c r="O107" s="63"/>
      <c r="P107" s="1984"/>
      <c r="Q107" s="1985"/>
      <c r="R107" s="1984"/>
      <c r="S107" s="1985"/>
      <c r="T107" s="1984"/>
      <c r="U107" s="1985"/>
      <c r="V107" s="1984"/>
      <c r="W107" s="1985"/>
      <c r="X107" s="1984"/>
      <c r="Y107" s="1985"/>
      <c r="Z107" s="1984"/>
      <c r="AA107" s="1986"/>
      <c r="AB107" s="1985"/>
      <c r="AC107" s="2016"/>
      <c r="AD107" s="2030"/>
      <c r="AE107" s="1956"/>
      <c r="AF107" s="1976"/>
      <c r="AG107" s="2030"/>
      <c r="AH107" s="272"/>
      <c r="AI107" s="53"/>
      <c r="AJ107" s="634"/>
      <c r="AK107" s="908"/>
      <c r="AL107" s="1416"/>
      <c r="AM107" s="773"/>
    </row>
    <row r="108" spans="1:39" ht="15" customHeight="1">
      <c r="A108" s="147"/>
      <c r="B108" s="26" t="s">
        <v>156</v>
      </c>
      <c r="C108" s="28"/>
      <c r="D108" s="1511"/>
      <c r="E108" s="1511"/>
      <c r="F108" s="1511"/>
      <c r="G108" s="1511"/>
      <c r="H108" s="1511"/>
      <c r="I108" s="1511"/>
      <c r="J108" s="1511"/>
      <c r="K108" s="63"/>
      <c r="L108" s="63"/>
      <c r="M108" s="63"/>
      <c r="N108" s="63"/>
      <c r="O108" s="63"/>
      <c r="P108" s="1985"/>
      <c r="Q108" s="1985"/>
      <c r="R108" s="1985"/>
      <c r="S108" s="1985"/>
      <c r="T108" s="1985"/>
      <c r="U108" s="1985"/>
      <c r="V108" s="1985"/>
      <c r="W108" s="1985"/>
      <c r="X108" s="1985"/>
      <c r="Y108" s="1985"/>
      <c r="Z108" s="1985"/>
      <c r="AA108" s="1985"/>
      <c r="AB108" s="1985"/>
      <c r="AC108" s="2016"/>
      <c r="AD108" s="1974"/>
      <c r="AE108" s="1956"/>
      <c r="AF108" s="1976"/>
      <c r="AG108" s="1974"/>
      <c r="AH108" s="272"/>
      <c r="AI108" s="53"/>
      <c r="AJ108" s="931"/>
      <c r="AK108" s="908"/>
      <c r="AL108" s="1416"/>
      <c r="AM108" s="773"/>
    </row>
    <row r="109" spans="1:39" ht="15" customHeight="1">
      <c r="A109" s="147"/>
      <c r="B109" s="26" t="s">
        <v>44</v>
      </c>
      <c r="C109" s="28"/>
      <c r="D109" s="910">
        <f>ROUND(SUM(D85-D106),1)</f>
        <v>366.7</v>
      </c>
      <c r="E109" s="910"/>
      <c r="F109" s="910">
        <f>ROUND(SUM(F85-F106),1)</f>
        <v>-182.1</v>
      </c>
      <c r="G109" s="910"/>
      <c r="H109" s="910">
        <f>ROUND(SUM(H85-H106),1)</f>
        <v>246.9</v>
      </c>
      <c r="I109" s="910"/>
      <c r="J109" s="910">
        <f>ROUND(SUM(J85-J106),1)</f>
        <v>72.5</v>
      </c>
      <c r="K109" s="910"/>
      <c r="L109" s="910">
        <f>ROUND(SUM(L85-L106),1)</f>
        <v>-48.1</v>
      </c>
      <c r="M109" s="910"/>
      <c r="N109" s="910">
        <f>ROUND(SUM(N85-N106),1)</f>
        <v>-1756.9</v>
      </c>
      <c r="O109" s="910"/>
      <c r="P109" s="1445">
        <f>ROUND(SUM(P85-P106),1)</f>
        <v>206.1</v>
      </c>
      <c r="Q109" s="1445"/>
      <c r="R109" s="1445">
        <f>ROUND(SUM(R85-R106),1)</f>
        <v>-525.29999999999995</v>
      </c>
      <c r="S109" s="1445"/>
      <c r="T109" s="1445">
        <f>ROUND(SUM(T85-T106),1)</f>
        <v>53.7</v>
      </c>
      <c r="U109" s="1445"/>
      <c r="V109" s="1445">
        <f>ROUND(SUM(V85-V106),1)</f>
        <v>370.7</v>
      </c>
      <c r="W109" s="1445"/>
      <c r="X109" s="1445">
        <f>ROUND(SUM(X85-X106),1)</f>
        <v>0</v>
      </c>
      <c r="Y109" s="1445"/>
      <c r="Z109" s="1445">
        <f>ROUND(SUM(Z85-Z106),1)</f>
        <v>0</v>
      </c>
      <c r="AA109" s="1445"/>
      <c r="AB109" s="1445"/>
      <c r="AC109" s="2019"/>
      <c r="AD109" s="2029">
        <f>ROUND(SUM(AD85-AD106),1)</f>
        <v>-1195.8</v>
      </c>
      <c r="AE109" s="1446"/>
      <c r="AF109" s="3098"/>
      <c r="AG109" s="2029">
        <f>ROUND(SUM(AG85-AG106),1)</f>
        <v>-2283.1999999999998</v>
      </c>
      <c r="AH109" s="279"/>
      <c r="AI109" s="73"/>
      <c r="AJ109" s="71">
        <f>ROUND(SUM(AD109-AG109),1)</f>
        <v>1087.4000000000001</v>
      </c>
      <c r="AK109" s="206"/>
      <c r="AL109" s="3517">
        <f>ROUND(IF(AG109=0,0,AJ109/ABS(AG109)),3)</f>
        <v>0.47599999999999998</v>
      </c>
      <c r="AM109" s="773"/>
    </row>
    <row r="110" spans="1:39" ht="15" customHeight="1">
      <c r="A110" s="147"/>
      <c r="B110" s="28"/>
      <c r="C110" s="28"/>
      <c r="D110" s="677"/>
      <c r="E110" s="1511"/>
      <c r="F110" s="677"/>
      <c r="G110" s="1511"/>
      <c r="H110" s="677"/>
      <c r="I110" s="1511"/>
      <c r="J110" s="677"/>
      <c r="K110" s="63"/>
      <c r="L110" s="85"/>
      <c r="M110" s="63"/>
      <c r="N110" s="85"/>
      <c r="O110" s="63"/>
      <c r="P110" s="1984"/>
      <c r="Q110" s="1985"/>
      <c r="R110" s="1984"/>
      <c r="S110" s="1985"/>
      <c r="T110" s="1984"/>
      <c r="U110" s="1985"/>
      <c r="V110" s="1984"/>
      <c r="W110" s="1985"/>
      <c r="X110" s="1984"/>
      <c r="Y110" s="1985"/>
      <c r="Z110" s="1984"/>
      <c r="AA110" s="1986"/>
      <c r="AB110" s="1985"/>
      <c r="AC110" s="2016"/>
      <c r="AD110" s="2030"/>
      <c r="AE110" s="1956"/>
      <c r="AF110" s="1976"/>
      <c r="AG110" s="2030"/>
      <c r="AH110" s="272"/>
      <c r="AI110" s="53"/>
      <c r="AJ110" s="634"/>
      <c r="AK110" s="908"/>
      <c r="AL110" s="1416"/>
      <c r="AM110" s="773"/>
    </row>
    <row r="111" spans="1:39" ht="15" customHeight="1">
      <c r="A111" s="147"/>
      <c r="B111" s="26" t="s">
        <v>45</v>
      </c>
      <c r="C111" s="28"/>
      <c r="D111" s="1511"/>
      <c r="E111" s="1511"/>
      <c r="F111" s="1511"/>
      <c r="G111" s="1511"/>
      <c r="H111" s="1511"/>
      <c r="I111" s="1511"/>
      <c r="J111" s="1511"/>
      <c r="K111" s="63"/>
      <c r="L111" s="63"/>
      <c r="M111" s="63"/>
      <c r="N111" s="63"/>
      <c r="O111" s="63"/>
      <c r="P111" s="1985"/>
      <c r="Q111" s="1985"/>
      <c r="R111" s="1985"/>
      <c r="S111" s="1985"/>
      <c r="T111" s="1985"/>
      <c r="U111" s="1985"/>
      <c r="V111" s="1985"/>
      <c r="W111" s="1985"/>
      <c r="X111" s="1985"/>
      <c r="Y111" s="1985"/>
      <c r="Z111" s="1985"/>
      <c r="AA111" s="1985"/>
      <c r="AB111" s="1985"/>
      <c r="AC111" s="2016"/>
      <c r="AD111" s="1974"/>
      <c r="AE111" s="1956"/>
      <c r="AF111" s="1976"/>
      <c r="AG111" s="1974"/>
      <c r="AH111" s="272"/>
      <c r="AI111" s="53"/>
      <c r="AJ111" s="634"/>
      <c r="AK111" s="908"/>
      <c r="AL111" s="1416"/>
      <c r="AM111" s="773"/>
    </row>
    <row r="112" spans="1:39" s="875" customFormat="1" ht="15" customHeight="1">
      <c r="A112" s="1058"/>
      <c r="B112" s="104" t="s">
        <v>175</v>
      </c>
      <c r="C112" s="104"/>
      <c r="D112" s="884">
        <v>263.5</v>
      </c>
      <c r="E112" s="1511"/>
      <c r="F112" s="884">
        <v>151</v>
      </c>
      <c r="G112" s="1511"/>
      <c r="H112" s="884">
        <v>908.3</v>
      </c>
      <c r="I112" s="1511"/>
      <c r="J112" s="3822">
        <v>593.20000000000005</v>
      </c>
      <c r="K112" s="1517"/>
      <c r="L112" s="3822">
        <v>109.40000000000009</v>
      </c>
      <c r="M112" s="1517"/>
      <c r="N112" s="3822">
        <v>183</v>
      </c>
      <c r="O112" s="1517"/>
      <c r="P112" s="3822">
        <v>119.79999999999973</v>
      </c>
      <c r="Q112" s="1977"/>
      <c r="R112" s="1768">
        <v>205.5</v>
      </c>
      <c r="S112" s="1977"/>
      <c r="T112" s="3822">
        <v>155.70000000000027</v>
      </c>
      <c r="U112" s="1977"/>
      <c r="V112" s="3822">
        <f>$AD112-$D112-$F112-$H112-$J112-$L112-$N112-$P112-$R112-$T112</f>
        <v>53.799999999999727</v>
      </c>
      <c r="W112" s="1977"/>
      <c r="X112" s="1768"/>
      <c r="Y112" s="1977"/>
      <c r="Z112" s="1768"/>
      <c r="AA112" s="1978"/>
      <c r="AB112" s="1979"/>
      <c r="AC112" s="1981"/>
      <c r="AD112" s="1768">
        <v>2743.2</v>
      </c>
      <c r="AE112" s="2011"/>
      <c r="AF112" s="3114"/>
      <c r="AG112" s="1768">
        <v>2458.6999999999998</v>
      </c>
      <c r="AH112" s="1061"/>
      <c r="AI112" s="64"/>
      <c r="AJ112" s="883">
        <f>ROUND(SUM(+AD112-AG112),1)</f>
        <v>284.5</v>
      </c>
      <c r="AK112" s="883"/>
      <c r="AL112" s="1797">
        <f>ROUND(IF(AG112=0,0,AJ112/ABS(AG112)),3)</f>
        <v>0.11600000000000001</v>
      </c>
      <c r="AM112" s="1798"/>
    </row>
    <row r="113" spans="1:49" s="875" customFormat="1" ht="15" customHeight="1">
      <c r="A113" s="1058"/>
      <c r="B113" s="104" t="s">
        <v>173</v>
      </c>
      <c r="C113" s="104"/>
      <c r="D113" s="884">
        <v>-9.5</v>
      </c>
      <c r="E113" s="1511"/>
      <c r="F113" s="884">
        <v>-3.3000000000000007</v>
      </c>
      <c r="G113" s="1511"/>
      <c r="H113" s="884">
        <v>-57.300000000000011</v>
      </c>
      <c r="I113" s="1511"/>
      <c r="J113" s="3822">
        <v>-9.0999999999999943</v>
      </c>
      <c r="K113" s="1517"/>
      <c r="L113" s="3822">
        <v>-2.3999999999999915</v>
      </c>
      <c r="M113" s="1517"/>
      <c r="N113" s="3822">
        <v>-36</v>
      </c>
      <c r="O113" s="1517"/>
      <c r="P113" s="3822">
        <v>-15.800000000000011</v>
      </c>
      <c r="Q113" s="1977"/>
      <c r="R113" s="1768">
        <v>3.2000000000000171</v>
      </c>
      <c r="S113" s="1977"/>
      <c r="T113" s="3822">
        <v>-75.7</v>
      </c>
      <c r="U113" s="1977"/>
      <c r="V113" s="3822">
        <f t="shared" ref="V113" si="22">$AD113-$D113-$F113-$H113-$J113-$L113-$N113-$P113-$R113-$T113</f>
        <v>-48.299999999999969</v>
      </c>
      <c r="W113" s="1977"/>
      <c r="X113" s="1768"/>
      <c r="Y113" s="1977"/>
      <c r="Z113" s="1768"/>
      <c r="AA113" s="1978"/>
      <c r="AB113" s="1979"/>
      <c r="AC113" s="1981"/>
      <c r="AD113" s="1768">
        <v>-254.2</v>
      </c>
      <c r="AE113" s="2011"/>
      <c r="AF113" s="3114"/>
      <c r="AG113" s="3363">
        <v>-271.60000000000002</v>
      </c>
      <c r="AH113" s="1061"/>
      <c r="AI113" s="64"/>
      <c r="AJ113" s="1012">
        <f>ROUND(SUM(+AD113-AG113)*-1,1)</f>
        <v>-17.399999999999999</v>
      </c>
      <c r="AK113" s="1012"/>
      <c r="AL113" s="2106">
        <f>ROUND(IF(AG113=0,0,AJ113/ABS(AG113)),3)</f>
        <v>-6.4000000000000001E-2</v>
      </c>
      <c r="AM113" s="1798"/>
    </row>
    <row r="114" spans="1:49" ht="15" customHeight="1">
      <c r="A114" s="147"/>
      <c r="B114" s="28"/>
      <c r="C114" s="28"/>
      <c r="D114" s="85"/>
      <c r="E114" s="63"/>
      <c r="F114" s="85"/>
      <c r="G114" s="63"/>
      <c r="H114" s="85"/>
      <c r="I114" s="63"/>
      <c r="J114" s="85"/>
      <c r="K114" s="63"/>
      <c r="L114" s="85"/>
      <c r="M114" s="63"/>
      <c r="N114" s="85"/>
      <c r="O114" s="63"/>
      <c r="P114" s="85"/>
      <c r="Q114" s="63"/>
      <c r="R114" s="85"/>
      <c r="S114" s="63"/>
      <c r="T114" s="85"/>
      <c r="U114" s="63"/>
      <c r="V114" s="85"/>
      <c r="W114" s="63"/>
      <c r="X114" s="85"/>
      <c r="Y114" s="63"/>
      <c r="Z114" s="85"/>
      <c r="AA114" s="53"/>
      <c r="AB114" s="63"/>
      <c r="AC114" s="54"/>
      <c r="AD114" s="123"/>
      <c r="AE114" s="64"/>
      <c r="AF114" s="1060"/>
      <c r="AG114" s="64"/>
      <c r="AH114" s="272"/>
      <c r="AI114" s="53"/>
      <c r="AJ114" s="1392"/>
      <c r="AK114" s="908"/>
      <c r="AL114" s="1430"/>
      <c r="AM114" s="773"/>
    </row>
    <row r="115" spans="1:49" ht="15" customHeight="1">
      <c r="A115" s="147"/>
      <c r="B115" s="26" t="s">
        <v>1089</v>
      </c>
      <c r="C115" s="28"/>
      <c r="D115" s="910">
        <f>ROUND(SUM(D112:D114),1)</f>
        <v>254</v>
      </c>
      <c r="E115" s="910"/>
      <c r="F115" s="910">
        <f>ROUND(SUM(F112:F114),1)</f>
        <v>147.69999999999999</v>
      </c>
      <c r="G115" s="910"/>
      <c r="H115" s="910">
        <f>ROUND(SUM(H112:H114),1)</f>
        <v>851</v>
      </c>
      <c r="I115" s="910"/>
      <c r="J115" s="910">
        <f>ROUND(SUM(J112:J114),1)</f>
        <v>584.1</v>
      </c>
      <c r="K115" s="910"/>
      <c r="L115" s="910">
        <f>ROUND(SUM(L112:L114),1)</f>
        <v>107</v>
      </c>
      <c r="M115" s="910"/>
      <c r="N115" s="910">
        <f>ROUND(SUM(N112:N114),1)</f>
        <v>147</v>
      </c>
      <c r="O115" s="910"/>
      <c r="P115" s="910">
        <f>ROUND(SUM(P112:P114),1)</f>
        <v>104</v>
      </c>
      <c r="Q115" s="910"/>
      <c r="R115" s="910">
        <f>ROUND(SUM(R112:R114),1)</f>
        <v>208.7</v>
      </c>
      <c r="S115" s="910"/>
      <c r="T115" s="910">
        <f>ROUND(SUM(T112:T114),1)</f>
        <v>80</v>
      </c>
      <c r="U115" s="910"/>
      <c r="V115" s="910">
        <f>ROUND(SUM(V112:V114),1)</f>
        <v>5.5</v>
      </c>
      <c r="W115" s="910"/>
      <c r="X115" s="910">
        <f>ROUND(SUM(X112:X114),1)</f>
        <v>0</v>
      </c>
      <c r="Y115" s="910"/>
      <c r="Z115" s="910">
        <f>ROUND(SUM(Z112:Z114),1)</f>
        <v>0</v>
      </c>
      <c r="AA115" s="910"/>
      <c r="AB115" s="910"/>
      <c r="AC115" s="61"/>
      <c r="AD115" s="109">
        <f>ROUND(SUM(AD112:AD114),1)</f>
        <v>2489</v>
      </c>
      <c r="AE115" s="112"/>
      <c r="AF115" s="3117"/>
      <c r="AG115" s="109">
        <f>ROUND(SUM(AG112:AG114),1)</f>
        <v>2187.1</v>
      </c>
      <c r="AH115" s="279"/>
      <c r="AI115" s="73"/>
      <c r="AJ115" s="71">
        <f>ROUND(SUM(AD115-AG115),1)</f>
        <v>301.89999999999998</v>
      </c>
      <c r="AK115" s="163"/>
      <c r="AL115" s="1419">
        <f>ROUND(SUM((AD115-AG115)/ABS(AG115)),3)</f>
        <v>0.13800000000000001</v>
      </c>
      <c r="AM115" s="1357"/>
    </row>
    <row r="116" spans="1:49" ht="15" customHeight="1">
      <c r="A116" s="147"/>
      <c r="B116" s="28"/>
      <c r="C116" s="28"/>
      <c r="D116" s="85"/>
      <c r="E116" s="63"/>
      <c r="F116" s="85"/>
      <c r="G116" s="63"/>
      <c r="H116" s="85"/>
      <c r="I116" s="63"/>
      <c r="J116" s="85"/>
      <c r="K116" s="63"/>
      <c r="L116" s="85"/>
      <c r="M116" s="63"/>
      <c r="N116" s="85"/>
      <c r="O116" s="63"/>
      <c r="P116" s="85"/>
      <c r="Q116" s="63"/>
      <c r="R116" s="85"/>
      <c r="S116" s="63"/>
      <c r="T116" s="85"/>
      <c r="U116" s="63"/>
      <c r="V116" s="85"/>
      <c r="W116" s="63"/>
      <c r="X116" s="85"/>
      <c r="Y116" s="63"/>
      <c r="Z116" s="85"/>
      <c r="AA116" s="53"/>
      <c r="AB116" s="63"/>
      <c r="AC116" s="54"/>
      <c r="AD116" s="123"/>
      <c r="AE116" s="64"/>
      <c r="AF116" s="1060"/>
      <c r="AG116" s="123"/>
      <c r="AH116" s="272"/>
      <c r="AI116" s="53"/>
      <c r="AJ116" s="634"/>
      <c r="AK116" s="908"/>
      <c r="AL116" s="1416"/>
      <c r="AM116" s="773"/>
    </row>
    <row r="117" spans="1:49" ht="15" customHeight="1">
      <c r="A117" s="147"/>
      <c r="B117" s="26" t="s">
        <v>164</v>
      </c>
      <c r="C117" s="28"/>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54"/>
      <c r="AD117" s="115"/>
      <c r="AE117" s="64"/>
      <c r="AF117" s="1060"/>
      <c r="AG117" s="115"/>
      <c r="AH117" s="272"/>
      <c r="AI117" s="53"/>
      <c r="AJ117" s="634"/>
      <c r="AK117" s="908"/>
      <c r="AL117" s="1416"/>
      <c r="AM117" s="773"/>
    </row>
    <row r="118" spans="1:49" ht="15" customHeight="1">
      <c r="A118" s="147"/>
      <c r="B118" s="26" t="s">
        <v>1137</v>
      </c>
      <c r="C118" s="28"/>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54"/>
      <c r="AD118" s="115"/>
      <c r="AE118" s="64"/>
      <c r="AF118" s="1060"/>
      <c r="AG118" s="136"/>
      <c r="AH118" s="272"/>
      <c r="AI118" s="53"/>
      <c r="AJ118" s="634"/>
      <c r="AK118" s="908"/>
      <c r="AL118" s="1416"/>
      <c r="AM118" s="773"/>
    </row>
    <row r="119" spans="1:49" ht="15" customHeight="1">
      <c r="A119" s="147"/>
      <c r="B119" s="26" t="s">
        <v>1085</v>
      </c>
      <c r="C119" s="28"/>
      <c r="D119" s="817">
        <f>ROUND(SUM(D109+D115),1)</f>
        <v>620.70000000000005</v>
      </c>
      <c r="E119" s="1512"/>
      <c r="F119" s="817">
        <f>ROUND(SUM(F109+F115),1)</f>
        <v>-34.4</v>
      </c>
      <c r="G119" s="1512"/>
      <c r="H119" s="817">
        <f>ROUND(SUM(H109+H115),1)</f>
        <v>1097.9000000000001</v>
      </c>
      <c r="I119" s="1512"/>
      <c r="J119" s="817">
        <f>ROUND(SUM(J109+J115),1)</f>
        <v>656.6</v>
      </c>
      <c r="K119" s="1512"/>
      <c r="L119" s="817">
        <f>ROUND(SUM(L109+L115),1)</f>
        <v>58.9</v>
      </c>
      <c r="M119" s="1512"/>
      <c r="N119" s="817">
        <f>ROUND(SUM(N109+N115),1)</f>
        <v>-1609.9</v>
      </c>
      <c r="O119" s="1512"/>
      <c r="P119" s="817">
        <f>ROUND(SUM(P109+P115),1)</f>
        <v>310.10000000000002</v>
      </c>
      <c r="Q119" s="1512"/>
      <c r="R119" s="817">
        <f>ROUND(SUM(R109+R115),1)</f>
        <v>-316.60000000000002</v>
      </c>
      <c r="S119" s="1512"/>
      <c r="T119" s="817">
        <f>ROUND(SUM(T109+T115),1)</f>
        <v>133.69999999999999</v>
      </c>
      <c r="U119" s="1512"/>
      <c r="V119" s="817">
        <f>ROUND(SUM(V109+V115),1)</f>
        <v>376.2</v>
      </c>
      <c r="W119" s="1512"/>
      <c r="X119" s="817">
        <f>ROUND(SUM(X109+X115),1)</f>
        <v>0</v>
      </c>
      <c r="Y119" s="1512"/>
      <c r="Z119" s="817">
        <f>ROUND(SUM(Z109+Z115),1)</f>
        <v>0</v>
      </c>
      <c r="AA119" s="1512"/>
      <c r="AB119" s="1838"/>
      <c r="AC119" s="1512"/>
      <c r="AD119" s="1095">
        <f>ROUND(SUM(AD109+AD115),1)</f>
        <v>1293.2</v>
      </c>
      <c r="AE119" s="3107"/>
      <c r="AF119" s="112"/>
      <c r="AG119" s="1095">
        <f>ROUND(SUM(AG109+AG115),1)</f>
        <v>-96.1</v>
      </c>
      <c r="AH119" s="272"/>
      <c r="AI119" s="1512"/>
      <c r="AJ119" s="817">
        <f>ROUND(SUM(AJ109+AJ115),1)</f>
        <v>1389.3</v>
      </c>
      <c r="AK119" s="1512"/>
      <c r="AL119" s="1837">
        <f>ROUND(IF(AG119=0,0,AJ119/ABS(AG119)),3)</f>
        <v>14.457000000000001</v>
      </c>
      <c r="AM119" s="773"/>
    </row>
    <row r="120" spans="1:49" ht="15" customHeight="1">
      <c r="A120" s="147"/>
      <c r="B120" s="26"/>
      <c r="C120" s="28"/>
      <c r="D120" s="162"/>
      <c r="E120" s="162"/>
      <c r="F120" s="162"/>
      <c r="G120" s="162"/>
      <c r="H120" s="162"/>
      <c r="I120" s="162"/>
      <c r="J120" s="162"/>
      <c r="K120" s="162"/>
      <c r="L120" s="162"/>
      <c r="M120" s="162"/>
      <c r="N120" s="162"/>
      <c r="O120" s="162"/>
      <c r="P120" s="162"/>
      <c r="Q120" s="162"/>
      <c r="R120" s="162"/>
      <c r="S120" s="162"/>
      <c r="T120" s="216"/>
      <c r="U120" s="162"/>
      <c r="V120" s="162"/>
      <c r="W120" s="162"/>
      <c r="X120" s="162"/>
      <c r="Y120" s="162"/>
      <c r="Z120" s="162"/>
      <c r="AA120" s="162"/>
      <c r="AB120" s="162"/>
      <c r="AC120" s="1955"/>
      <c r="AD120" s="114"/>
      <c r="AE120" s="114"/>
      <c r="AF120" s="3118"/>
      <c r="AG120" s="114"/>
      <c r="AH120" s="56"/>
      <c r="AI120" s="268"/>
      <c r="AJ120" s="1394"/>
      <c r="AK120" s="1394"/>
      <c r="AL120" s="1431"/>
      <c r="AM120" s="773"/>
    </row>
    <row r="121" spans="1:49" ht="17.25" customHeight="1" thickBot="1">
      <c r="A121" s="147"/>
      <c r="B121" s="26" t="s">
        <v>1095</v>
      </c>
      <c r="C121" s="28"/>
      <c r="D121" s="264">
        <f>ROUND(SUM(+D119+D13),1)</f>
        <v>6329.3</v>
      </c>
      <c r="E121" s="162"/>
      <c r="F121" s="264">
        <f>ROUND(SUM(+F119+F13),1)</f>
        <v>6294.9</v>
      </c>
      <c r="G121" s="162"/>
      <c r="H121" s="264">
        <f>ROUND(SUM(+H119+H13),1)</f>
        <v>7392.8</v>
      </c>
      <c r="I121" s="162"/>
      <c r="J121" s="264">
        <v>8049.4</v>
      </c>
      <c r="K121" s="162"/>
      <c r="L121" s="264">
        <f>ROUND(SUM(+L119+L13),1)</f>
        <v>8108.3</v>
      </c>
      <c r="M121" s="162"/>
      <c r="N121" s="264">
        <f>ROUND(SUM(+N119+N13),1)</f>
        <v>6498.4</v>
      </c>
      <c r="O121" s="162"/>
      <c r="P121" s="264">
        <f>ROUND(SUM(+P119+P13),1)</f>
        <v>6808.5</v>
      </c>
      <c r="Q121" s="162"/>
      <c r="R121" s="264">
        <f>ROUND(SUM(+R119+R13),1)</f>
        <v>6491.9</v>
      </c>
      <c r="S121" s="162"/>
      <c r="T121" s="264">
        <f>ROUND(SUM(+T119+T13),1)</f>
        <v>6625.6</v>
      </c>
      <c r="U121" s="162"/>
      <c r="V121" s="264">
        <f>ROUND(SUM(+V119+V13),1)</f>
        <v>7001.8</v>
      </c>
      <c r="W121" s="162"/>
      <c r="X121" s="264">
        <f>ROUND(SUM(+X119+X13),1)</f>
        <v>0</v>
      </c>
      <c r="Y121" s="162"/>
      <c r="Z121" s="264">
        <f>ROUND(SUM(+Z119+Z13),1)</f>
        <v>0</v>
      </c>
      <c r="AA121" s="162"/>
      <c r="AB121" s="162"/>
      <c r="AC121" s="1955"/>
      <c r="AD121" s="259">
        <f>ROUND(SUM(+AD119+AD13),1)</f>
        <v>7001.8</v>
      </c>
      <c r="AE121" s="114"/>
      <c r="AF121" s="3118"/>
      <c r="AG121" s="259">
        <f>ROUND(SUM(+AG119+AG13),1)</f>
        <v>5304.6</v>
      </c>
      <c r="AH121" s="56"/>
      <c r="AI121" s="268"/>
      <c r="AJ121" s="264">
        <f>ROUND(SUM(+AJ119+AJ13),1)</f>
        <v>1697.2</v>
      </c>
      <c r="AK121" s="1394"/>
      <c r="AL121" s="1835">
        <f>ROUND(IF(AG121=0,0,AJ121/ABS(AG121)),3)</f>
        <v>0.32</v>
      </c>
      <c r="AM121" s="773"/>
    </row>
    <row r="122" spans="1:49" ht="15" customHeight="1" thickTop="1">
      <c r="A122" s="147"/>
      <c r="B122" s="26"/>
      <c r="C122" s="28"/>
      <c r="D122" s="162"/>
      <c r="E122" s="162"/>
      <c r="F122" s="162"/>
      <c r="G122" s="162"/>
      <c r="H122" s="162"/>
      <c r="I122" s="162"/>
      <c r="J122" s="162"/>
      <c r="K122" s="162"/>
      <c r="L122" s="162"/>
      <c r="M122" s="162"/>
      <c r="N122" s="162"/>
      <c r="O122" s="162"/>
      <c r="P122" s="216"/>
      <c r="Q122" s="162"/>
      <c r="R122" s="162"/>
      <c r="S122" s="162"/>
      <c r="T122" s="162"/>
      <c r="U122" s="162"/>
      <c r="V122" s="162"/>
      <c r="W122" s="162"/>
      <c r="X122" s="162"/>
      <c r="Y122" s="162"/>
      <c r="Z122" s="162"/>
      <c r="AA122" s="162"/>
      <c r="AB122" s="162"/>
      <c r="AC122" s="56"/>
      <c r="AD122" s="114"/>
      <c r="AE122" s="114"/>
      <c r="AF122" s="114"/>
      <c r="AG122" s="114"/>
      <c r="AH122" s="56"/>
      <c r="AI122" s="34"/>
      <c r="AJ122" s="1394"/>
      <c r="AK122" s="1394"/>
      <c r="AL122" s="1431"/>
      <c r="AM122" s="773"/>
    </row>
    <row r="123" spans="1:49" ht="15" customHeight="1">
      <c r="B123" s="2707" t="s">
        <v>1552</v>
      </c>
      <c r="C123" s="27"/>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100"/>
      <c r="AE123" s="2100"/>
      <c r="AF123" s="2100"/>
      <c r="AG123" s="1009" t="s">
        <v>14</v>
      </c>
      <c r="AH123" s="265"/>
      <c r="AI123" s="265"/>
      <c r="AJ123" s="1393"/>
      <c r="AK123" s="1393"/>
      <c r="AL123" s="1416"/>
      <c r="AM123" s="773"/>
      <c r="AN123" s="292"/>
      <c r="AO123" s="292"/>
      <c r="AP123" s="292"/>
      <c r="AQ123" s="292"/>
      <c r="AR123" s="292"/>
      <c r="AS123" s="292"/>
      <c r="AT123" s="292"/>
      <c r="AU123" s="292"/>
      <c r="AV123" s="292"/>
      <c r="AW123" s="292"/>
    </row>
    <row r="124" spans="1:49" ht="15" customHeight="1">
      <c r="B124" s="27"/>
      <c r="AL124" s="1433"/>
      <c r="AM124" s="773"/>
    </row>
    <row r="125" spans="1:49" ht="15" customHeight="1">
      <c r="B125" s="27"/>
      <c r="AL125" s="1433"/>
      <c r="AM125" s="773"/>
    </row>
    <row r="126" spans="1:49">
      <c r="AL126" s="1433"/>
      <c r="AM126" s="773"/>
    </row>
    <row r="127" spans="1:49" ht="15" customHeight="1">
      <c r="AL127" s="1433"/>
      <c r="AM127" s="773"/>
    </row>
    <row r="128" spans="1:49" ht="15" customHeight="1">
      <c r="D128" s="908"/>
      <c r="F128" s="908"/>
      <c r="H128" s="908"/>
      <c r="AJ128" s="1836"/>
      <c r="AL128" s="1433"/>
      <c r="AM128" s="773"/>
    </row>
    <row r="129" spans="38:39" ht="15" customHeight="1">
      <c r="AL129" s="773"/>
      <c r="AM129" s="773"/>
    </row>
    <row r="130" spans="38:39" ht="15" customHeight="1">
      <c r="AL130" s="773"/>
      <c r="AM130" s="773"/>
    </row>
    <row r="131" spans="38:39" ht="15" customHeight="1">
      <c r="AL131" s="773"/>
      <c r="AM131" s="773"/>
    </row>
    <row r="132" spans="38:39" ht="15" customHeight="1">
      <c r="AL132" s="773"/>
      <c r="AM132" s="773"/>
    </row>
    <row r="133" spans="38:39" ht="15" customHeight="1">
      <c r="AL133" s="773"/>
      <c r="AM133" s="773"/>
    </row>
    <row r="134" spans="38:39" ht="15" customHeight="1">
      <c r="AL134" s="773"/>
      <c r="AM134" s="773"/>
    </row>
    <row r="135" spans="38:39" ht="15" customHeight="1">
      <c r="AL135" s="773"/>
      <c r="AM135" s="773"/>
    </row>
    <row r="136" spans="38:39" ht="15" customHeight="1">
      <c r="AL136" s="773"/>
      <c r="AM136" s="773"/>
    </row>
    <row r="137" spans="38:39" ht="15" customHeight="1">
      <c r="AL137" s="773"/>
      <c r="AM137" s="773"/>
    </row>
    <row r="138" spans="38:39" ht="15" customHeight="1">
      <c r="AL138" s="773"/>
      <c r="AM138" s="773"/>
    </row>
    <row r="139" spans="38:39" ht="15" customHeight="1">
      <c r="AL139" s="773"/>
      <c r="AM139" s="773"/>
    </row>
    <row r="140" spans="38:39" ht="15" customHeight="1">
      <c r="AL140" s="773"/>
      <c r="AM140" s="773"/>
    </row>
    <row r="141" spans="38:39" ht="15" customHeight="1">
      <c r="AL141" s="773"/>
      <c r="AM141" s="773"/>
    </row>
    <row r="142" spans="38:39" ht="15" customHeight="1">
      <c r="AL142" s="773"/>
      <c r="AM142" s="773"/>
    </row>
    <row r="143" spans="38:39" ht="15" customHeight="1">
      <c r="AL143" s="773"/>
      <c r="AM143" s="773"/>
    </row>
    <row r="144" spans="38:39" ht="15" customHeight="1">
      <c r="AL144" s="773"/>
      <c r="AM144" s="773"/>
    </row>
    <row r="145" spans="38:39" ht="15" customHeight="1">
      <c r="AL145" s="773"/>
      <c r="AM145" s="773"/>
    </row>
    <row r="146" spans="38:39" ht="15" customHeight="1">
      <c r="AL146" s="773"/>
      <c r="AM146" s="773"/>
    </row>
    <row r="147" spans="38:39" ht="15" customHeight="1">
      <c r="AL147" s="773"/>
      <c r="AM147" s="773"/>
    </row>
    <row r="148" spans="38:39" ht="15" customHeight="1">
      <c r="AL148" s="773"/>
      <c r="AM148" s="773"/>
    </row>
    <row r="149" spans="38:39" ht="15" customHeight="1">
      <c r="AL149" s="773"/>
      <c r="AM149" s="773"/>
    </row>
    <row r="150" spans="38:39" ht="15" customHeight="1">
      <c r="AL150" s="773"/>
      <c r="AM150" s="773"/>
    </row>
    <row r="151" spans="38:39" ht="15" customHeight="1">
      <c r="AL151" s="773"/>
      <c r="AM151" s="773"/>
    </row>
    <row r="152" spans="38:39" ht="15" customHeight="1">
      <c r="AL152" s="773"/>
      <c r="AM152" s="773"/>
    </row>
    <row r="153" spans="38:39" ht="15" customHeight="1">
      <c r="AL153" s="773"/>
      <c r="AM153" s="773"/>
    </row>
    <row r="154" spans="38:39" ht="15" customHeight="1">
      <c r="AL154" s="773"/>
      <c r="AM154" s="773"/>
    </row>
    <row r="155" spans="38:39" ht="11.25" customHeight="1">
      <c r="AL155" s="773"/>
      <c r="AM155" s="773"/>
    </row>
    <row r="156" spans="38:39" ht="15" customHeight="1">
      <c r="AL156" s="773"/>
      <c r="AM156" s="773"/>
    </row>
    <row r="157" spans="38:39" ht="15" customHeight="1">
      <c r="AL157" s="773"/>
      <c r="AM157" s="77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6" min="1" max="37" man="1"/>
  </rowBreaks>
  <ignoredErrors>
    <ignoredError sqref="AL42 AL55 AL47 AL62 AL68 AL36 AL38:AL40 AL24:AL25 AL20 AL28:AL35" unlockedFormula="1"/>
    <ignoredError sqref="AL81" evalError="1"/>
    <ignoredError sqref="AL73:AL76 AL23 AL51 AJ72:AM72 AJ74:AK74 AM74 AJ73:AK73 AM73 AJ71:AK71 AM71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81640625" defaultRowHeight="13.2"/>
  <cols>
    <col min="1" max="1" width="1.81640625" style="244" customWidth="1"/>
    <col min="2" max="2" width="44.81640625" style="244" customWidth="1"/>
    <col min="3" max="3" width="1.81640625" style="244" customWidth="1"/>
    <col min="4" max="4" width="15.08984375" style="244" bestFit="1" customWidth="1"/>
    <col min="5" max="5" width="1.81640625" style="244" customWidth="1"/>
    <col min="6" max="6" width="12" style="244" customWidth="1"/>
    <col min="7" max="7" width="1.81640625" style="244" customWidth="1"/>
    <col min="8" max="8" width="11.08984375" style="244" bestFit="1" customWidth="1"/>
    <col min="9" max="9" width="1.81640625" style="244" customWidth="1"/>
    <col min="10" max="10" width="11" style="244" customWidth="1"/>
    <col min="11" max="11" width="1.81640625" style="244" customWidth="1"/>
    <col min="12" max="12" width="11.08984375" style="244" customWidth="1"/>
    <col min="13" max="13" width="1.81640625" style="244" customWidth="1"/>
    <col min="14" max="14" width="12.08984375" style="244" customWidth="1"/>
    <col min="15" max="15" width="1.81640625" style="244" customWidth="1"/>
    <col min="16" max="16" width="11" style="244" bestFit="1" customWidth="1"/>
    <col min="17" max="17" width="1.81640625" style="244" customWidth="1"/>
    <col min="18" max="18" width="11.54296875" style="244" bestFit="1" customWidth="1"/>
    <col min="19" max="19" width="1.81640625" style="244" customWidth="1"/>
    <col min="20" max="20" width="11.453125" style="244" customWidth="1"/>
    <col min="21" max="21" width="1.81640625" style="244" customWidth="1"/>
    <col min="22" max="22" width="11.08984375" style="244" customWidth="1"/>
    <col min="23" max="23" width="1.81640625" style="244" customWidth="1"/>
    <col min="24" max="24" width="11.08984375" style="244" bestFit="1" customWidth="1"/>
    <col min="25" max="25" width="1.81640625" style="244" customWidth="1"/>
    <col min="26" max="26" width="10.81640625" style="244" bestFit="1" customWidth="1"/>
    <col min="27" max="27" width="1" style="244" customWidth="1"/>
    <col min="28" max="29" width="1.81640625" style="244" customWidth="1"/>
    <col min="30" max="30" width="12.08984375" style="875" customWidth="1"/>
    <col min="31" max="32" width="1.08984375" style="875" customWidth="1"/>
    <col min="33" max="33" width="11.81640625" style="875" customWidth="1"/>
    <col min="34" max="34" width="1.453125" style="244" customWidth="1"/>
    <col min="35" max="35" width="0.81640625" style="244" customWidth="1"/>
    <col min="36" max="36" width="13.08984375" style="244" bestFit="1" customWidth="1"/>
    <col min="37" max="37" width="0.81640625" style="244" customWidth="1"/>
    <col min="38" max="38" width="13.81640625" style="773" bestFit="1" customWidth="1"/>
    <col min="39" max="16384" width="8.81640625" style="244"/>
  </cols>
  <sheetData>
    <row r="1" spans="1:41" ht="15">
      <c r="B1" s="635" t="s">
        <v>881</v>
      </c>
    </row>
    <row r="2" spans="1:41" ht="15.6">
      <c r="A2" s="243"/>
      <c r="M2" s="26"/>
      <c r="N2" s="26"/>
      <c r="O2" s="262"/>
    </row>
    <row r="3" spans="1:41" ht="17.399999999999999">
      <c r="A3" s="243"/>
      <c r="B3" s="246" t="s">
        <v>0</v>
      </c>
      <c r="M3" s="26"/>
      <c r="N3" s="26"/>
      <c r="O3" s="262"/>
      <c r="AF3" s="3046"/>
      <c r="AG3" s="3387"/>
      <c r="AH3" s="285"/>
      <c r="AI3" s="285"/>
      <c r="AJ3" s="285"/>
      <c r="AK3" s="285"/>
      <c r="AL3" s="247" t="s">
        <v>167</v>
      </c>
    </row>
    <row r="4" spans="1:41" ht="17.399999999999999">
      <c r="A4" s="243"/>
      <c r="B4" s="246" t="s">
        <v>176</v>
      </c>
      <c r="L4" s="26"/>
      <c r="M4" s="26"/>
      <c r="O4" s="262"/>
    </row>
    <row r="5" spans="1:41" ht="17.399999999999999">
      <c r="A5" s="243"/>
      <c r="B5" s="1514" t="s">
        <v>147</v>
      </c>
      <c r="L5" s="262"/>
      <c r="M5" s="262"/>
      <c r="O5" s="262"/>
      <c r="X5" s="286"/>
    </row>
    <row r="6" spans="1:41" ht="21">
      <c r="A6" s="243"/>
      <c r="B6" s="1514" t="str">
        <f>'Cashflow Governmental'!A6</f>
        <v xml:space="preserve">FISCAL YEAR 2021-2022   </v>
      </c>
      <c r="L6" s="262"/>
      <c r="M6" s="262"/>
      <c r="O6" s="262"/>
      <c r="AL6" s="774"/>
    </row>
    <row r="7" spans="1:41" ht="17.399999999999999">
      <c r="A7" s="243"/>
      <c r="B7" s="246" t="s">
        <v>1266</v>
      </c>
      <c r="AI7" s="147"/>
      <c r="AJ7" s="147"/>
      <c r="AK7" s="147"/>
      <c r="AL7" s="775"/>
    </row>
    <row r="8" spans="1:41" ht="13.5" customHeight="1">
      <c r="A8" s="243"/>
      <c r="B8" s="293"/>
      <c r="AI8" s="147"/>
      <c r="AJ8" s="147"/>
      <c r="AK8" s="147"/>
      <c r="AL8" s="775"/>
    </row>
    <row r="9" spans="1:41" ht="15.6">
      <c r="A9" s="243"/>
      <c r="L9" s="262"/>
      <c r="M9" s="262"/>
      <c r="N9" s="262"/>
      <c r="O9" s="262"/>
      <c r="AC9" s="3976" t="str">
        <f>'Exhibit G'!AC9:AL9</f>
        <v>10 Months Ended January 31</v>
      </c>
      <c r="AD9" s="3976"/>
      <c r="AE9" s="3976"/>
      <c r="AF9" s="3976"/>
      <c r="AG9" s="3976"/>
      <c r="AH9" s="3976"/>
      <c r="AI9" s="3976"/>
      <c r="AJ9" s="3976"/>
      <c r="AK9" s="3976"/>
      <c r="AL9" s="3976"/>
    </row>
    <row r="10" spans="1:41" ht="15.6">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02"/>
      <c r="AE10" s="3102"/>
      <c r="AF10" s="3102"/>
      <c r="AG10" s="3102"/>
      <c r="AH10" s="207"/>
      <c r="AI10" s="206"/>
      <c r="AJ10" s="739" t="s">
        <v>7</v>
      </c>
      <c r="AK10" s="739"/>
      <c r="AL10" s="776" t="s">
        <v>8</v>
      </c>
      <c r="AM10" s="742"/>
      <c r="AN10" s="742"/>
      <c r="AO10" s="742"/>
    </row>
    <row r="11" spans="1:41" ht="15.6">
      <c r="A11" s="243"/>
      <c r="B11" s="27"/>
      <c r="C11" s="27"/>
      <c r="D11" s="726" t="s">
        <v>123</v>
      </c>
      <c r="E11" s="26"/>
      <c r="F11" s="726" t="s">
        <v>124</v>
      </c>
      <c r="G11" s="26"/>
      <c r="H11" s="726" t="s">
        <v>125</v>
      </c>
      <c r="I11" s="26"/>
      <c r="J11" s="726" t="s">
        <v>126</v>
      </c>
      <c r="K11" s="26"/>
      <c r="L11" s="726" t="s">
        <v>127</v>
      </c>
      <c r="M11" s="26"/>
      <c r="N11" s="726" t="s">
        <v>142</v>
      </c>
      <c r="O11" s="26"/>
      <c r="P11" s="726" t="s">
        <v>143</v>
      </c>
      <c r="Q11" s="26"/>
      <c r="R11" s="726" t="s">
        <v>130</v>
      </c>
      <c r="S11" s="26"/>
      <c r="T11" s="726" t="s">
        <v>131</v>
      </c>
      <c r="U11" s="26"/>
      <c r="V11" s="726" t="s">
        <v>132</v>
      </c>
      <c r="W11" s="26"/>
      <c r="X11" s="726" t="s">
        <v>133</v>
      </c>
      <c r="Y11" s="26"/>
      <c r="Z11" s="726" t="s">
        <v>184</v>
      </c>
      <c r="AA11" s="726"/>
      <c r="AB11" s="26"/>
      <c r="AC11" s="26"/>
      <c r="AD11" s="730">
        <f>'Cashflow Governmental'!AB14</f>
        <v>2022</v>
      </c>
      <c r="AE11" s="730"/>
      <c r="AF11" s="102" t="s">
        <v>14</v>
      </c>
      <c r="AG11" s="730">
        <f>'Cashflow Governmental'!AE14</f>
        <v>2021</v>
      </c>
      <c r="AH11" s="725"/>
      <c r="AI11" s="206"/>
      <c r="AJ11" s="744" t="s">
        <v>11</v>
      </c>
      <c r="AK11" s="738"/>
      <c r="AL11" s="777" t="s">
        <v>12</v>
      </c>
      <c r="AM11" s="742"/>
      <c r="AN11" s="742"/>
      <c r="AO11" s="742"/>
    </row>
    <row r="12" spans="1:41" ht="6.75" customHeight="1">
      <c r="A12" s="243"/>
      <c r="B12" s="27"/>
      <c r="C12" s="27"/>
      <c r="D12" s="40"/>
      <c r="E12" s="27"/>
      <c r="F12" s="40"/>
      <c r="G12" s="27"/>
      <c r="H12" s="40"/>
      <c r="I12" s="27"/>
      <c r="J12" s="40"/>
      <c r="K12" s="27"/>
      <c r="L12" s="40"/>
      <c r="M12" s="27"/>
      <c r="N12" s="267"/>
      <c r="O12" s="27"/>
      <c r="P12" s="40"/>
      <c r="Q12" s="27"/>
      <c r="R12" s="40"/>
      <c r="S12" s="27"/>
      <c r="T12" s="40"/>
      <c r="U12" s="27"/>
      <c r="V12" s="40"/>
      <c r="W12" s="27"/>
      <c r="X12" s="40"/>
      <c r="Y12" s="27"/>
      <c r="Z12" s="40"/>
      <c r="AA12" s="34"/>
      <c r="AB12" s="27"/>
      <c r="AC12" s="1047"/>
      <c r="AD12" s="3119"/>
      <c r="AE12" s="3119"/>
      <c r="AF12" s="3109"/>
      <c r="AG12" s="3119"/>
      <c r="AH12" s="34"/>
      <c r="AI12" s="268"/>
      <c r="AJ12" s="27"/>
      <c r="AK12" s="27"/>
      <c r="AL12" s="261"/>
    </row>
    <row r="13" spans="1:41" ht="15.6">
      <c r="A13" s="243"/>
      <c r="B13" s="1830" t="s">
        <v>1160</v>
      </c>
      <c r="C13" s="27"/>
      <c r="D13" s="303">
        <v>4960.7</v>
      </c>
      <c r="E13" s="27"/>
      <c r="F13" s="216">
        <f>D94</f>
        <v>7300.6</v>
      </c>
      <c r="G13" s="27"/>
      <c r="H13" s="216">
        <f>F94</f>
        <v>20207.8</v>
      </c>
      <c r="I13" s="27"/>
      <c r="J13" s="216">
        <f>H94</f>
        <v>19723.2</v>
      </c>
      <c r="K13" s="27"/>
      <c r="L13" s="216">
        <f>J94</f>
        <v>19231.599999999999</v>
      </c>
      <c r="M13" s="27"/>
      <c r="N13" s="216">
        <f>L94</f>
        <v>18591.7</v>
      </c>
      <c r="O13" s="27"/>
      <c r="P13" s="216">
        <f>N94</f>
        <v>19124.2</v>
      </c>
      <c r="Q13" s="27"/>
      <c r="R13" s="216">
        <f>P94</f>
        <v>19344.099999999999</v>
      </c>
      <c r="S13" s="27"/>
      <c r="T13" s="216">
        <f>R94</f>
        <v>19356.3</v>
      </c>
      <c r="U13" s="27"/>
      <c r="V13" s="216">
        <f>T94</f>
        <v>20578.099999999999</v>
      </c>
      <c r="W13" s="27"/>
      <c r="X13" s="216"/>
      <c r="Y13" s="27"/>
      <c r="Z13" s="216"/>
      <c r="AA13" s="34"/>
      <c r="AB13" s="27"/>
      <c r="AC13" s="1047"/>
      <c r="AD13" s="136">
        <f>D13</f>
        <v>4960.7</v>
      </c>
      <c r="AE13" s="1077"/>
      <c r="AF13" s="3109"/>
      <c r="AG13" s="136">
        <v>911.4</v>
      </c>
      <c r="AH13" s="34"/>
      <c r="AI13" s="268"/>
      <c r="AJ13" s="91">
        <f>+AD13-AG13</f>
        <v>4049.2999999999997</v>
      </c>
      <c r="AK13" s="27"/>
      <c r="AL13" s="270">
        <f>-AJ13/AG13</f>
        <v>-4.4429449199034448</v>
      </c>
    </row>
    <row r="14" spans="1:41" ht="15.6">
      <c r="A14" s="243"/>
      <c r="B14" s="1830"/>
      <c r="C14" s="27"/>
      <c r="D14" s="34"/>
      <c r="E14" s="27"/>
      <c r="F14" s="34"/>
      <c r="G14" s="27"/>
      <c r="H14" s="34"/>
      <c r="I14" s="27"/>
      <c r="J14" s="34"/>
      <c r="K14" s="27"/>
      <c r="L14" s="34"/>
      <c r="M14" s="27"/>
      <c r="N14" s="1046"/>
      <c r="O14" s="27"/>
      <c r="P14" s="34"/>
      <c r="Q14" s="27"/>
      <c r="R14" s="34"/>
      <c r="S14" s="27"/>
      <c r="T14" s="34"/>
      <c r="U14" s="27"/>
      <c r="V14" s="34"/>
      <c r="W14" s="27"/>
      <c r="X14" s="34"/>
      <c r="Y14" s="27"/>
      <c r="Z14" s="34"/>
      <c r="AA14" s="34"/>
      <c r="AB14" s="1840"/>
      <c r="AC14" s="34"/>
      <c r="AD14" s="1077"/>
      <c r="AE14" s="1077"/>
      <c r="AF14" s="3109"/>
      <c r="AG14" s="1077"/>
      <c r="AH14" s="271"/>
      <c r="AI14" s="34"/>
      <c r="AJ14" s="27"/>
      <c r="AK14" s="27"/>
      <c r="AL14" s="261"/>
    </row>
    <row r="15" spans="1:41"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9"/>
      <c r="AD15" s="103"/>
      <c r="AE15" s="103"/>
      <c r="AF15" s="3110"/>
      <c r="AG15" s="103"/>
      <c r="AH15" s="290"/>
      <c r="AI15" s="34"/>
      <c r="AJ15" s="289"/>
      <c r="AK15" s="289"/>
      <c r="AL15" s="295"/>
    </row>
    <row r="16" spans="1:41" ht="7.5" customHeight="1">
      <c r="A16" s="147"/>
      <c r="B16" s="28"/>
      <c r="C16" s="28"/>
      <c r="D16" s="167"/>
      <c r="E16" s="162"/>
      <c r="F16" s="167"/>
      <c r="G16" s="162"/>
      <c r="H16" s="167"/>
      <c r="I16" s="162"/>
      <c r="J16" s="167"/>
      <c r="K16" s="162"/>
      <c r="L16" s="167"/>
      <c r="M16" s="162"/>
      <c r="N16" s="167"/>
      <c r="O16" s="162"/>
      <c r="P16" s="167"/>
      <c r="Q16" s="162"/>
      <c r="R16" s="167"/>
      <c r="S16" s="162"/>
      <c r="T16" s="167"/>
      <c r="U16" s="162"/>
      <c r="V16" s="167"/>
      <c r="W16" s="63"/>
      <c r="X16" s="167"/>
      <c r="Y16" s="63"/>
      <c r="Z16" s="167"/>
      <c r="AA16" s="167"/>
      <c r="AB16" s="162"/>
      <c r="AC16" s="249"/>
      <c r="AD16" s="115"/>
      <c r="AE16" s="3120"/>
      <c r="AF16" s="3123"/>
      <c r="AG16" s="354"/>
      <c r="AH16" s="290"/>
      <c r="AI16" s="34"/>
      <c r="AJ16" s="931"/>
      <c r="AK16" s="634"/>
      <c r="AL16" s="898"/>
    </row>
    <row r="17" spans="1:39" ht="15" customHeight="1">
      <c r="A17" s="147"/>
      <c r="B17" s="258" t="s">
        <v>929</v>
      </c>
      <c r="C17" s="28"/>
      <c r="D17" s="74"/>
      <c r="E17" s="162"/>
      <c r="F17" s="167"/>
      <c r="G17" s="162"/>
      <c r="H17" s="137"/>
      <c r="I17" s="162"/>
      <c r="J17" s="137"/>
      <c r="K17" s="162"/>
      <c r="L17" s="137"/>
      <c r="M17" s="162"/>
      <c r="N17" s="137"/>
      <c r="O17" s="162"/>
      <c r="P17" s="294"/>
      <c r="Q17" s="162"/>
      <c r="R17" s="166"/>
      <c r="S17" s="162"/>
      <c r="T17" s="167"/>
      <c r="U17" s="162"/>
      <c r="V17" s="74"/>
      <c r="W17" s="63"/>
      <c r="X17" s="74"/>
      <c r="Y17" s="63"/>
      <c r="Z17" s="74"/>
      <c r="AA17" s="74"/>
      <c r="AB17" s="162"/>
      <c r="AC17" s="249"/>
      <c r="AD17" s="115"/>
      <c r="AE17" s="115"/>
      <c r="AF17" s="1060"/>
      <c r="AG17" s="115"/>
      <c r="AH17" s="272"/>
      <c r="AI17" s="53"/>
      <c r="AJ17" s="931"/>
      <c r="AK17" s="931"/>
      <c r="AL17" s="659"/>
    </row>
    <row r="18" spans="1:39" ht="15" customHeight="1">
      <c r="A18" s="147"/>
      <c r="B18" s="880" t="s">
        <v>1044</v>
      </c>
      <c r="C18" s="28"/>
      <c r="D18" s="671" t="s">
        <v>14</v>
      </c>
      <c r="E18" s="162"/>
      <c r="F18" s="167"/>
      <c r="G18" s="162"/>
      <c r="H18" s="137"/>
      <c r="I18" s="162"/>
      <c r="J18" s="137"/>
      <c r="K18" s="162"/>
      <c r="L18" s="137"/>
      <c r="M18" s="162"/>
      <c r="N18" s="137"/>
      <c r="O18" s="162"/>
      <c r="P18" s="294"/>
      <c r="Q18" s="162"/>
      <c r="R18" s="166"/>
      <c r="S18" s="162"/>
      <c r="T18" s="167"/>
      <c r="U18" s="162"/>
      <c r="V18" s="74"/>
      <c r="W18" s="63"/>
      <c r="X18" s="74"/>
      <c r="Y18" s="63"/>
      <c r="Z18" s="74"/>
      <c r="AA18" s="74"/>
      <c r="AB18" s="162"/>
      <c r="AC18" s="249"/>
      <c r="AD18" s="115"/>
      <c r="AE18" s="115"/>
      <c r="AF18" s="1060"/>
      <c r="AG18" s="115"/>
      <c r="AH18" s="272"/>
      <c r="AI18" s="53"/>
      <c r="AJ18" s="931"/>
      <c r="AK18" s="931"/>
      <c r="AL18" s="659"/>
    </row>
    <row r="19" spans="1:39" ht="15" customHeight="1">
      <c r="A19" s="147"/>
      <c r="B19" s="880" t="s">
        <v>961</v>
      </c>
      <c r="C19" s="28"/>
      <c r="D19" s="673">
        <v>0</v>
      </c>
      <c r="E19" s="882"/>
      <c r="F19" s="3823">
        <v>0</v>
      </c>
      <c r="G19" s="883"/>
      <c r="H19" s="3823">
        <v>0</v>
      </c>
      <c r="I19" s="883"/>
      <c r="J19" s="3823">
        <v>0</v>
      </c>
      <c r="K19" s="1517"/>
      <c r="L19" s="3823">
        <v>0</v>
      </c>
      <c r="M19" s="1517"/>
      <c r="N19" s="3823">
        <v>0</v>
      </c>
      <c r="O19" s="1775"/>
      <c r="P19" s="3823">
        <v>0</v>
      </c>
      <c r="Q19" s="1966"/>
      <c r="R19" s="1768">
        <v>0</v>
      </c>
      <c r="S19" s="1966"/>
      <c r="T19" s="1768">
        <v>0</v>
      </c>
      <c r="U19" s="1966"/>
      <c r="V19" s="1768">
        <f>$AD19-$D19-$F19-$H19-$J19-$L19-$N19-$P19-T19-R19</f>
        <v>0</v>
      </c>
      <c r="W19" s="1966"/>
      <c r="X19" s="1768"/>
      <c r="Y19" s="1966"/>
      <c r="Z19" s="1768"/>
      <c r="AA19" s="1967"/>
      <c r="AB19" s="1821"/>
      <c r="AC19" s="1968"/>
      <c r="AD19" s="1768">
        <v>0</v>
      </c>
      <c r="AE19" s="1979"/>
      <c r="AF19" s="1981"/>
      <c r="AG19" s="1768">
        <v>0</v>
      </c>
      <c r="AH19" s="1364"/>
      <c r="AI19" s="931"/>
      <c r="AJ19" s="883">
        <f>ROUND(SUM(+AD19-AG19),1)</f>
        <v>0</v>
      </c>
      <c r="AK19" s="931"/>
      <c r="AL19" s="1422">
        <f>ROUND(IF(AG19=0,0,AJ19/ABS(AG19)),3)</f>
        <v>0</v>
      </c>
    </row>
    <row r="20" spans="1:39" s="875" customFormat="1" ht="15" customHeight="1">
      <c r="A20" s="1058"/>
      <c r="B20" s="880" t="s">
        <v>1045</v>
      </c>
      <c r="C20" s="104"/>
      <c r="D20" s="673" t="s">
        <v>14</v>
      </c>
      <c r="E20" s="804"/>
      <c r="F20" s="673"/>
      <c r="G20" s="804"/>
      <c r="H20" s="673"/>
      <c r="I20" s="804"/>
      <c r="J20" s="3823"/>
      <c r="K20" s="137"/>
      <c r="L20" s="673"/>
      <c r="M20" s="137"/>
      <c r="N20" s="673"/>
      <c r="O20" s="137"/>
      <c r="P20" s="1768"/>
      <c r="Q20" s="1970"/>
      <c r="R20" s="1768"/>
      <c r="S20" s="1970"/>
      <c r="T20" s="1768"/>
      <c r="U20" s="1970"/>
      <c r="V20" s="1768"/>
      <c r="W20" s="1974"/>
      <c r="X20" s="1768"/>
      <c r="Y20" s="1974"/>
      <c r="Z20" s="1768"/>
      <c r="AA20" s="1973"/>
      <c r="AB20" s="1970"/>
      <c r="AC20" s="1975"/>
      <c r="AD20" s="1974"/>
      <c r="AE20" s="1974"/>
      <c r="AF20" s="1976"/>
      <c r="AG20" s="1974"/>
      <c r="AH20" s="1061"/>
      <c r="AI20" s="64"/>
      <c r="AJ20" s="1012"/>
      <c r="AK20" s="1012"/>
      <c r="AL20" s="1432"/>
    </row>
    <row r="21" spans="1:39" s="875" customFormat="1" ht="15" customHeight="1">
      <c r="A21" s="1058"/>
      <c r="B21" s="880" t="s">
        <v>963</v>
      </c>
      <c r="C21" s="104"/>
      <c r="D21" s="673">
        <v>5.5</v>
      </c>
      <c r="E21" s="804"/>
      <c r="F21" s="673">
        <v>35.6</v>
      </c>
      <c r="G21" s="804"/>
      <c r="H21" s="673">
        <v>0.10000000000000142</v>
      </c>
      <c r="I21" s="804"/>
      <c r="J21" s="3823">
        <v>2</v>
      </c>
      <c r="K21" s="1517"/>
      <c r="L21" s="3823">
        <v>11</v>
      </c>
      <c r="M21" s="1517"/>
      <c r="N21" s="3823">
        <v>9.9999999999994316E-2</v>
      </c>
      <c r="O21" s="1517"/>
      <c r="P21" s="3823">
        <v>1.3000000000000043</v>
      </c>
      <c r="Q21" s="1977"/>
      <c r="R21" s="1768">
        <v>7.7999999999999972</v>
      </c>
      <c r="S21" s="1977"/>
      <c r="T21" s="1768">
        <v>0</v>
      </c>
      <c r="U21" s="1977"/>
      <c r="V21" s="1768">
        <f t="shared" ref="V21:V51" si="0">$AD21-$D21-$F21-$H21-$J21-$L21-$N21-$P21-T21-R21</f>
        <v>1.1000000000000014</v>
      </c>
      <c r="W21" s="1977"/>
      <c r="X21" s="1768"/>
      <c r="Y21" s="1977"/>
      <c r="Z21" s="1768"/>
      <c r="AA21" s="1978"/>
      <c r="AB21" s="1979"/>
      <c r="AC21" s="1980"/>
      <c r="AD21" s="1768">
        <v>64.5</v>
      </c>
      <c r="AE21" s="1979"/>
      <c r="AF21" s="1981"/>
      <c r="AG21" s="1768">
        <v>62.5</v>
      </c>
      <c r="AH21" s="1061"/>
      <c r="AI21" s="64"/>
      <c r="AJ21" s="1012">
        <f>ROUND(SUM(+AD21-AG21),1)</f>
        <v>2</v>
      </c>
      <c r="AK21" s="1012"/>
      <c r="AL21" s="1703">
        <f>ROUND(IF(AG21=0,0,AJ21/ABS(AG21)),3)</f>
        <v>3.2000000000000001E-2</v>
      </c>
      <c r="AM21" s="1787"/>
    </row>
    <row r="22" spans="1:39" ht="15" customHeight="1">
      <c r="A22" s="147"/>
      <c r="B22" s="880" t="s">
        <v>964</v>
      </c>
      <c r="C22" s="28"/>
      <c r="D22" s="673">
        <v>0</v>
      </c>
      <c r="E22" s="804"/>
      <c r="F22" s="673">
        <v>0</v>
      </c>
      <c r="G22" s="804"/>
      <c r="H22" s="673">
        <v>0</v>
      </c>
      <c r="I22" s="804"/>
      <c r="J22" s="3823">
        <v>0</v>
      </c>
      <c r="K22" s="1517"/>
      <c r="L22" s="3823">
        <v>0</v>
      </c>
      <c r="M22" s="1517"/>
      <c r="N22" s="3823">
        <v>0</v>
      </c>
      <c r="O22" s="1517"/>
      <c r="P22" s="3823">
        <v>0</v>
      </c>
      <c r="Q22" s="1977"/>
      <c r="R22" s="1768">
        <v>0</v>
      </c>
      <c r="S22" s="1977"/>
      <c r="T22" s="1768">
        <v>0</v>
      </c>
      <c r="U22" s="1977"/>
      <c r="V22" s="1768">
        <f t="shared" si="0"/>
        <v>0</v>
      </c>
      <c r="W22" s="1977"/>
      <c r="X22" s="1768"/>
      <c r="Y22" s="1977"/>
      <c r="Z22" s="1768"/>
      <c r="AA22" s="1978"/>
      <c r="AB22" s="1979"/>
      <c r="AC22" s="1980"/>
      <c r="AD22" s="1768">
        <v>0</v>
      </c>
      <c r="AE22" s="1979"/>
      <c r="AF22" s="1981"/>
      <c r="AG22" s="1768">
        <v>0</v>
      </c>
      <c r="AH22" s="272"/>
      <c r="AI22" s="53"/>
      <c r="AJ22" s="931">
        <f t="shared" ref="AJ22:AJ51" si="1">ROUND(SUM(+AD22-AG22),1)</f>
        <v>0</v>
      </c>
      <c r="AK22" s="931"/>
      <c r="AL22" s="1422">
        <f>ROUND(IF(AG22=0,0,AJ22/ABS(AG22)),3)</f>
        <v>0</v>
      </c>
    </row>
    <row r="23" spans="1:39" ht="15" customHeight="1">
      <c r="A23" s="147"/>
      <c r="B23" s="880" t="s">
        <v>965</v>
      </c>
      <c r="C23" s="28"/>
      <c r="D23" s="673">
        <v>0</v>
      </c>
      <c r="E23" s="804"/>
      <c r="F23" s="673">
        <v>0</v>
      </c>
      <c r="G23" s="804"/>
      <c r="H23" s="673">
        <v>0</v>
      </c>
      <c r="I23" s="804"/>
      <c r="J23" s="3823">
        <v>0</v>
      </c>
      <c r="K23" s="1517"/>
      <c r="L23" s="3823">
        <v>0</v>
      </c>
      <c r="M23" s="1517"/>
      <c r="N23" s="3823">
        <v>0</v>
      </c>
      <c r="O23" s="1517"/>
      <c r="P23" s="3823">
        <v>0</v>
      </c>
      <c r="Q23" s="1977"/>
      <c r="R23" s="1768">
        <v>0</v>
      </c>
      <c r="S23" s="1977"/>
      <c r="T23" s="1768">
        <v>0</v>
      </c>
      <c r="U23" s="1977"/>
      <c r="V23" s="1768">
        <f t="shared" si="0"/>
        <v>0</v>
      </c>
      <c r="W23" s="1977"/>
      <c r="X23" s="1768"/>
      <c r="Y23" s="1977"/>
      <c r="Z23" s="1768"/>
      <c r="AA23" s="1978"/>
      <c r="AB23" s="1979"/>
      <c r="AC23" s="1980"/>
      <c r="AD23" s="1768">
        <v>0</v>
      </c>
      <c r="AE23" s="1979"/>
      <c r="AF23" s="1981"/>
      <c r="AG23" s="1768">
        <v>0</v>
      </c>
      <c r="AH23" s="272"/>
      <c r="AI23" s="53"/>
      <c r="AJ23" s="931">
        <f t="shared" si="1"/>
        <v>0</v>
      </c>
      <c r="AK23" s="931"/>
      <c r="AL23" s="1422">
        <f>ROUND(IF(AG23=0,0,AJ23/ABS(AG23)),3)</f>
        <v>0</v>
      </c>
    </row>
    <row r="24" spans="1:39" ht="15" customHeight="1">
      <c r="A24" s="147"/>
      <c r="B24" s="880" t="s">
        <v>966</v>
      </c>
      <c r="C24" s="28"/>
      <c r="D24" s="673">
        <v>0</v>
      </c>
      <c r="E24" s="804"/>
      <c r="F24" s="673">
        <v>0</v>
      </c>
      <c r="G24" s="804"/>
      <c r="H24" s="673">
        <v>0</v>
      </c>
      <c r="I24" s="804"/>
      <c r="J24" s="3823">
        <v>0</v>
      </c>
      <c r="K24" s="1517"/>
      <c r="L24" s="3823">
        <v>0</v>
      </c>
      <c r="M24" s="1517"/>
      <c r="N24" s="3823">
        <v>0</v>
      </c>
      <c r="O24" s="1517"/>
      <c r="P24" s="3823">
        <v>0</v>
      </c>
      <c r="Q24" s="1977"/>
      <c r="R24" s="1768">
        <v>0</v>
      </c>
      <c r="S24" s="1977"/>
      <c r="T24" s="1768">
        <v>0</v>
      </c>
      <c r="U24" s="1977"/>
      <c r="V24" s="1768">
        <f t="shared" si="0"/>
        <v>0</v>
      </c>
      <c r="W24" s="1977"/>
      <c r="X24" s="1768"/>
      <c r="Y24" s="1977"/>
      <c r="Z24" s="1768"/>
      <c r="AA24" s="1978"/>
      <c r="AB24" s="1979"/>
      <c r="AC24" s="1980"/>
      <c r="AD24" s="1768">
        <v>0</v>
      </c>
      <c r="AE24" s="1979"/>
      <c r="AF24" s="1981"/>
      <c r="AG24" s="1768">
        <v>0</v>
      </c>
      <c r="AH24" s="272"/>
      <c r="AI24" s="53"/>
      <c r="AJ24" s="931">
        <f t="shared" si="1"/>
        <v>0</v>
      </c>
      <c r="AK24" s="931"/>
      <c r="AL24" s="1422">
        <f>ROUND(IF(AG24=0,0,AJ24/ABS(AG24)),3)</f>
        <v>0</v>
      </c>
    </row>
    <row r="25" spans="1:39" ht="15" customHeight="1">
      <c r="A25" s="147"/>
      <c r="B25" s="880" t="s">
        <v>1049</v>
      </c>
      <c r="C25" s="28"/>
      <c r="D25" s="673" t="s">
        <v>14</v>
      </c>
      <c r="E25" s="804"/>
      <c r="F25" s="673"/>
      <c r="G25" s="804"/>
      <c r="H25" s="673"/>
      <c r="I25" s="804"/>
      <c r="J25" s="3823"/>
      <c r="K25" s="137"/>
      <c r="L25" s="3823"/>
      <c r="M25" s="137"/>
      <c r="N25" s="3823"/>
      <c r="O25" s="137"/>
      <c r="P25" s="1768"/>
      <c r="Q25" s="1970"/>
      <c r="R25" s="1768"/>
      <c r="S25" s="1970"/>
      <c r="T25" s="1768"/>
      <c r="U25" s="1970"/>
      <c r="V25" s="1768"/>
      <c r="W25" s="1974"/>
      <c r="X25" s="1768"/>
      <c r="Y25" s="1974"/>
      <c r="Z25" s="1768"/>
      <c r="AA25" s="1973"/>
      <c r="AB25" s="1970"/>
      <c r="AC25" s="1975"/>
      <c r="AD25" s="1974"/>
      <c r="AE25" s="1974"/>
      <c r="AF25" s="1976"/>
      <c r="AG25" s="1974"/>
      <c r="AH25" s="272"/>
      <c r="AI25" s="53"/>
      <c r="AJ25" s="931"/>
      <c r="AK25" s="931"/>
      <c r="AL25" s="1422"/>
    </row>
    <row r="26" spans="1:39" ht="15" customHeight="1">
      <c r="A26" s="147"/>
      <c r="B26" s="880" t="s">
        <v>967</v>
      </c>
      <c r="C26" s="28"/>
      <c r="D26" s="673">
        <v>0</v>
      </c>
      <c r="E26" s="804"/>
      <c r="F26" s="673">
        <v>0</v>
      </c>
      <c r="G26" s="804"/>
      <c r="H26" s="673">
        <v>0</v>
      </c>
      <c r="I26" s="804"/>
      <c r="J26" s="3823">
        <v>0</v>
      </c>
      <c r="K26" s="1517"/>
      <c r="L26" s="3823">
        <v>0</v>
      </c>
      <c r="M26" s="1517"/>
      <c r="N26" s="3823">
        <v>0</v>
      </c>
      <c r="O26" s="1517"/>
      <c r="P26" s="3823">
        <v>0</v>
      </c>
      <c r="Q26" s="1977"/>
      <c r="R26" s="1768">
        <v>0</v>
      </c>
      <c r="S26" s="1977"/>
      <c r="T26" s="1768">
        <v>0</v>
      </c>
      <c r="U26" s="1977"/>
      <c r="V26" s="1768">
        <f t="shared" si="0"/>
        <v>0</v>
      </c>
      <c r="W26" s="1977"/>
      <c r="X26" s="1768"/>
      <c r="Y26" s="1977"/>
      <c r="Z26" s="1768"/>
      <c r="AA26" s="1978"/>
      <c r="AB26" s="1979"/>
      <c r="AC26" s="1980"/>
      <c r="AD26" s="1768">
        <v>0</v>
      </c>
      <c r="AE26" s="1979"/>
      <c r="AF26" s="1981"/>
      <c r="AG26" s="1768">
        <v>0</v>
      </c>
      <c r="AH26" s="272"/>
      <c r="AI26" s="53"/>
      <c r="AJ26" s="931">
        <f t="shared" si="1"/>
        <v>0</v>
      </c>
      <c r="AK26" s="931"/>
      <c r="AL26" s="1422">
        <f t="shared" ref="AL26:AL31" si="2">ROUND(IF(AG26=0,0,AJ26/ABS(AG26)),3)</f>
        <v>0</v>
      </c>
    </row>
    <row r="27" spans="1:39" ht="15" customHeight="1">
      <c r="A27" s="147"/>
      <c r="B27" s="880" t="s">
        <v>968</v>
      </c>
      <c r="C27" s="28"/>
      <c r="D27" s="673">
        <v>0</v>
      </c>
      <c r="E27" s="804"/>
      <c r="F27" s="673">
        <v>0</v>
      </c>
      <c r="G27" s="804"/>
      <c r="H27" s="673">
        <v>0</v>
      </c>
      <c r="I27" s="804"/>
      <c r="J27" s="3823">
        <v>0</v>
      </c>
      <c r="K27" s="1517"/>
      <c r="L27" s="3823">
        <v>0</v>
      </c>
      <c r="M27" s="1517"/>
      <c r="N27" s="3823">
        <v>0</v>
      </c>
      <c r="O27" s="1517"/>
      <c r="P27" s="3823">
        <v>0</v>
      </c>
      <c r="Q27" s="1977"/>
      <c r="R27" s="1768">
        <v>0</v>
      </c>
      <c r="S27" s="1977"/>
      <c r="T27" s="1768">
        <v>0</v>
      </c>
      <c r="U27" s="1977"/>
      <c r="V27" s="1768">
        <f t="shared" si="0"/>
        <v>0</v>
      </c>
      <c r="W27" s="1977"/>
      <c r="X27" s="1768"/>
      <c r="Y27" s="1977"/>
      <c r="Z27" s="1768"/>
      <c r="AA27" s="1978"/>
      <c r="AB27" s="1979"/>
      <c r="AC27" s="1980"/>
      <c r="AD27" s="1768">
        <v>0</v>
      </c>
      <c r="AE27" s="1979"/>
      <c r="AF27" s="1981"/>
      <c r="AG27" s="1768">
        <v>0</v>
      </c>
      <c r="AH27" s="272"/>
      <c r="AI27" s="53"/>
      <c r="AJ27" s="931">
        <f t="shared" si="1"/>
        <v>0</v>
      </c>
      <c r="AK27" s="931"/>
      <c r="AL27" s="1422">
        <f t="shared" si="2"/>
        <v>0</v>
      </c>
    </row>
    <row r="28" spans="1:39" ht="15" customHeight="1">
      <c r="A28" s="147"/>
      <c r="B28" s="880" t="s">
        <v>969</v>
      </c>
      <c r="C28" s="28"/>
      <c r="D28" s="673">
        <v>0</v>
      </c>
      <c r="E28" s="804"/>
      <c r="F28" s="673">
        <v>0</v>
      </c>
      <c r="G28" s="804"/>
      <c r="H28" s="673">
        <v>0</v>
      </c>
      <c r="I28" s="804"/>
      <c r="J28" s="3823">
        <v>0</v>
      </c>
      <c r="K28" s="1517"/>
      <c r="L28" s="3823">
        <v>0</v>
      </c>
      <c r="M28" s="1517"/>
      <c r="N28" s="3823">
        <v>0</v>
      </c>
      <c r="O28" s="1517"/>
      <c r="P28" s="3823">
        <v>0</v>
      </c>
      <c r="Q28" s="1977"/>
      <c r="R28" s="1768">
        <v>0</v>
      </c>
      <c r="S28" s="1977"/>
      <c r="T28" s="1768">
        <v>0</v>
      </c>
      <c r="U28" s="1977"/>
      <c r="V28" s="1768">
        <f t="shared" si="0"/>
        <v>0</v>
      </c>
      <c r="W28" s="1977"/>
      <c r="X28" s="1768"/>
      <c r="Y28" s="1977"/>
      <c r="Z28" s="1768"/>
      <c r="AA28" s="1978"/>
      <c r="AB28" s="1979"/>
      <c r="AC28" s="1980"/>
      <c r="AD28" s="1768">
        <v>0</v>
      </c>
      <c r="AE28" s="1979"/>
      <c r="AF28" s="1981"/>
      <c r="AG28" s="1768">
        <v>0</v>
      </c>
      <c r="AH28" s="272"/>
      <c r="AI28" s="53"/>
      <c r="AJ28" s="931">
        <f t="shared" si="1"/>
        <v>0</v>
      </c>
      <c r="AK28" s="931"/>
      <c r="AL28" s="1422">
        <f t="shared" si="2"/>
        <v>0</v>
      </c>
    </row>
    <row r="29" spans="1:39" ht="15" customHeight="1">
      <c r="A29" s="147"/>
      <c r="B29" s="880" t="s">
        <v>970</v>
      </c>
      <c r="C29" s="28"/>
      <c r="D29" s="673">
        <v>0</v>
      </c>
      <c r="E29" s="804"/>
      <c r="F29" s="673">
        <v>0</v>
      </c>
      <c r="G29" s="804"/>
      <c r="H29" s="673">
        <v>0</v>
      </c>
      <c r="I29" s="804"/>
      <c r="J29" s="3823">
        <v>0</v>
      </c>
      <c r="K29" s="1517"/>
      <c r="L29" s="3823">
        <v>0</v>
      </c>
      <c r="M29" s="1517"/>
      <c r="N29" s="3823">
        <v>0</v>
      </c>
      <c r="O29" s="1517"/>
      <c r="P29" s="3823">
        <v>0</v>
      </c>
      <c r="Q29" s="1977"/>
      <c r="R29" s="1768">
        <v>0</v>
      </c>
      <c r="S29" s="1977"/>
      <c r="T29" s="1768">
        <v>0</v>
      </c>
      <c r="U29" s="1977"/>
      <c r="V29" s="1768">
        <f t="shared" si="0"/>
        <v>0</v>
      </c>
      <c r="W29" s="1977"/>
      <c r="X29" s="1768"/>
      <c r="Y29" s="1977"/>
      <c r="Z29" s="1768"/>
      <c r="AA29" s="1978"/>
      <c r="AB29" s="1979"/>
      <c r="AC29" s="1980"/>
      <c r="AD29" s="1768">
        <v>0</v>
      </c>
      <c r="AE29" s="1979"/>
      <c r="AF29" s="1981"/>
      <c r="AG29" s="1768">
        <v>0</v>
      </c>
      <c r="AH29" s="272"/>
      <c r="AI29" s="53"/>
      <c r="AJ29" s="931">
        <f t="shared" si="1"/>
        <v>0</v>
      </c>
      <c r="AK29" s="931"/>
      <c r="AL29" s="1422">
        <f t="shared" si="2"/>
        <v>0</v>
      </c>
    </row>
    <row r="30" spans="1:39" ht="15" customHeight="1">
      <c r="A30" s="147"/>
      <c r="B30" s="880" t="s">
        <v>971</v>
      </c>
      <c r="C30" s="28"/>
      <c r="D30" s="673">
        <v>0</v>
      </c>
      <c r="E30" s="804"/>
      <c r="F30" s="673">
        <v>0</v>
      </c>
      <c r="G30" s="804"/>
      <c r="H30" s="673">
        <v>0</v>
      </c>
      <c r="I30" s="804"/>
      <c r="J30" s="3823">
        <v>0</v>
      </c>
      <c r="K30" s="1517"/>
      <c r="L30" s="3823">
        <v>0</v>
      </c>
      <c r="M30" s="1517"/>
      <c r="N30" s="3823">
        <v>0</v>
      </c>
      <c r="O30" s="1517"/>
      <c r="P30" s="3823">
        <v>0</v>
      </c>
      <c r="Q30" s="1977"/>
      <c r="R30" s="1768">
        <v>0</v>
      </c>
      <c r="S30" s="1977"/>
      <c r="T30" s="1768">
        <v>0</v>
      </c>
      <c r="U30" s="1977"/>
      <c r="V30" s="1768">
        <f t="shared" si="0"/>
        <v>0</v>
      </c>
      <c r="W30" s="1977"/>
      <c r="X30" s="1768"/>
      <c r="Y30" s="1977"/>
      <c r="Z30" s="1768"/>
      <c r="AA30" s="1978"/>
      <c r="AB30" s="1979"/>
      <c r="AC30" s="1980"/>
      <c r="AD30" s="1768">
        <v>0</v>
      </c>
      <c r="AE30" s="1979"/>
      <c r="AF30" s="1981"/>
      <c r="AG30" s="1768">
        <v>0</v>
      </c>
      <c r="AH30" s="272"/>
      <c r="AI30" s="53"/>
      <c r="AJ30" s="931">
        <f t="shared" si="1"/>
        <v>0</v>
      </c>
      <c r="AK30" s="931"/>
      <c r="AL30" s="1422">
        <f t="shared" si="2"/>
        <v>0</v>
      </c>
    </row>
    <row r="31" spans="1:39" ht="15" customHeight="1">
      <c r="A31" s="147"/>
      <c r="B31" s="880" t="s">
        <v>930</v>
      </c>
      <c r="C31" s="28"/>
      <c r="D31" s="673">
        <v>0.4</v>
      </c>
      <c r="E31" s="804"/>
      <c r="F31" s="673">
        <v>0.4</v>
      </c>
      <c r="G31" s="804"/>
      <c r="H31" s="673">
        <v>0.30000000000000004</v>
      </c>
      <c r="I31" s="804"/>
      <c r="J31" s="3823">
        <v>0.29999999999999982</v>
      </c>
      <c r="K31" s="1517"/>
      <c r="L31" s="3823">
        <v>0.29999999999999993</v>
      </c>
      <c r="M31" s="1517"/>
      <c r="N31" s="3823">
        <v>0.40000000000000047</v>
      </c>
      <c r="O31" s="1517"/>
      <c r="P31" s="3823">
        <v>0.5</v>
      </c>
      <c r="Q31" s="1977"/>
      <c r="R31" s="1768">
        <v>0.60000000000000053</v>
      </c>
      <c r="S31" s="1977"/>
      <c r="T31" s="1768">
        <v>0.5</v>
      </c>
      <c r="U31" s="1977"/>
      <c r="V31" s="1768">
        <f t="shared" si="0"/>
        <v>0.5</v>
      </c>
      <c r="W31" s="1977"/>
      <c r="X31" s="1768"/>
      <c r="Y31" s="1977"/>
      <c r="Z31" s="1768"/>
      <c r="AA31" s="1978"/>
      <c r="AB31" s="1979"/>
      <c r="AC31" s="1980"/>
      <c r="AD31" s="1768">
        <v>4.2</v>
      </c>
      <c r="AE31" s="1979"/>
      <c r="AF31" s="1981"/>
      <c r="AG31" s="1768">
        <v>2.2999999999999998</v>
      </c>
      <c r="AH31" s="272"/>
      <c r="AI31" s="53"/>
      <c r="AJ31" s="931">
        <f>ROUND(SUM(+AD31-AG31),1)</f>
        <v>1.9</v>
      </c>
      <c r="AK31" s="931"/>
      <c r="AL31" s="1422">
        <f t="shared" si="2"/>
        <v>0.82599999999999996</v>
      </c>
    </row>
    <row r="32" spans="1:39" s="875" customFormat="1" ht="15" customHeight="1">
      <c r="A32" s="1058"/>
      <c r="B32" s="880" t="s">
        <v>931</v>
      </c>
      <c r="C32" s="104"/>
      <c r="D32" s="673">
        <v>0.6</v>
      </c>
      <c r="E32" s="804"/>
      <c r="F32" s="673">
        <v>0.50000000000000011</v>
      </c>
      <c r="G32" s="804"/>
      <c r="H32" s="673">
        <v>0.70000000000000007</v>
      </c>
      <c r="I32" s="804"/>
      <c r="J32" s="3823">
        <v>0.79999999999999993</v>
      </c>
      <c r="K32" s="1517"/>
      <c r="L32" s="3823">
        <v>0.8999999999999998</v>
      </c>
      <c r="M32" s="1517"/>
      <c r="N32" s="3823">
        <v>0.79999999999999993</v>
      </c>
      <c r="O32" s="1517"/>
      <c r="P32" s="3823">
        <v>0.80000000000000016</v>
      </c>
      <c r="Q32" s="1977"/>
      <c r="R32" s="1768">
        <v>1</v>
      </c>
      <c r="S32" s="1977"/>
      <c r="T32" s="1768">
        <v>1</v>
      </c>
      <c r="U32" s="1977"/>
      <c r="V32" s="1768">
        <f t="shared" si="0"/>
        <v>1.4000000000000008</v>
      </c>
      <c r="W32" s="1977"/>
      <c r="X32" s="1768"/>
      <c r="Y32" s="1977"/>
      <c r="Z32" s="1768"/>
      <c r="AA32" s="1978"/>
      <c r="AB32" s="1979"/>
      <c r="AC32" s="1980"/>
      <c r="AD32" s="1768">
        <v>8.5</v>
      </c>
      <c r="AE32" s="1979"/>
      <c r="AF32" s="1981"/>
      <c r="AG32" s="1768">
        <v>14.3</v>
      </c>
      <c r="AH32" s="1061"/>
      <c r="AI32" s="64"/>
      <c r="AJ32" s="1012">
        <f t="shared" si="1"/>
        <v>-5.8</v>
      </c>
      <c r="AK32" s="1012"/>
      <c r="AL32" s="1703">
        <f>ROUND(IF(AG32=0,1,AJ32/ABS(AG32)),3)</f>
        <v>-0.40600000000000003</v>
      </c>
    </row>
    <row r="33" spans="1:38" s="875" customFormat="1" ht="15" customHeight="1">
      <c r="A33" s="1058"/>
      <c r="B33" s="880" t="s">
        <v>948</v>
      </c>
      <c r="C33" s="104"/>
      <c r="D33" s="673">
        <v>0</v>
      </c>
      <c r="E33" s="804"/>
      <c r="F33" s="673">
        <v>0</v>
      </c>
      <c r="G33" s="804"/>
      <c r="H33" s="673">
        <v>0</v>
      </c>
      <c r="I33" s="804"/>
      <c r="J33" s="3823">
        <v>0</v>
      </c>
      <c r="K33" s="1517"/>
      <c r="L33" s="3823">
        <v>0</v>
      </c>
      <c r="M33" s="1517"/>
      <c r="N33" s="3823">
        <v>0</v>
      </c>
      <c r="O33" s="1517"/>
      <c r="P33" s="3823">
        <v>0</v>
      </c>
      <c r="Q33" s="1977"/>
      <c r="R33" s="1768">
        <v>0</v>
      </c>
      <c r="S33" s="1977"/>
      <c r="T33" s="1768">
        <v>0</v>
      </c>
      <c r="U33" s="1977"/>
      <c r="V33" s="1768">
        <f t="shared" si="0"/>
        <v>0</v>
      </c>
      <c r="W33" s="1977"/>
      <c r="X33" s="1768"/>
      <c r="Y33" s="1977"/>
      <c r="Z33" s="1768"/>
      <c r="AA33" s="1978"/>
      <c r="AB33" s="1979"/>
      <c r="AC33" s="1980"/>
      <c r="AD33" s="1768">
        <v>0</v>
      </c>
      <c r="AE33" s="1979"/>
      <c r="AF33" s="1981"/>
      <c r="AG33" s="1768">
        <v>0</v>
      </c>
      <c r="AH33" s="1061"/>
      <c r="AI33" s="64"/>
      <c r="AJ33" s="1012">
        <f>ROUND(SUM(+AD33-AG33),1)</f>
        <v>0</v>
      </c>
      <c r="AK33" s="1012"/>
      <c r="AL33" s="1703">
        <f>ROUND(IF(AG33=0,0,AJ33/ABS(AG33)),3)</f>
        <v>0</v>
      </c>
    </row>
    <row r="34" spans="1:38" s="875" customFormat="1" ht="15" customHeight="1">
      <c r="A34" s="1058"/>
      <c r="B34" s="880" t="s">
        <v>1047</v>
      </c>
      <c r="C34" s="104"/>
      <c r="D34" s="673" t="s">
        <v>14</v>
      </c>
      <c r="E34" s="804"/>
      <c r="F34" s="673"/>
      <c r="G34" s="804"/>
      <c r="H34" s="673"/>
      <c r="I34" s="804"/>
      <c r="J34" s="3823"/>
      <c r="K34" s="137"/>
      <c r="L34" s="3823"/>
      <c r="M34" s="137"/>
      <c r="N34" s="3823"/>
      <c r="O34" s="137"/>
      <c r="P34" s="3823"/>
      <c r="Q34" s="1970"/>
      <c r="R34" s="1768"/>
      <c r="S34" s="1970"/>
      <c r="T34" s="1768"/>
      <c r="U34" s="1970"/>
      <c r="V34" s="1768"/>
      <c r="W34" s="1974"/>
      <c r="X34" s="1768"/>
      <c r="Y34" s="1974"/>
      <c r="Z34" s="1768"/>
      <c r="AA34" s="1973"/>
      <c r="AB34" s="1970"/>
      <c r="AC34" s="1975"/>
      <c r="AD34" s="1974"/>
      <c r="AE34" s="1974"/>
      <c r="AF34" s="1976"/>
      <c r="AG34" s="1974"/>
      <c r="AH34" s="1061"/>
      <c r="AI34" s="64"/>
      <c r="AJ34" s="1012"/>
      <c r="AK34" s="1012"/>
      <c r="AL34" s="1432"/>
    </row>
    <row r="35" spans="1:38" s="875" customFormat="1" ht="15" customHeight="1">
      <c r="A35" s="1058"/>
      <c r="B35" s="880" t="s">
        <v>974</v>
      </c>
      <c r="C35" s="104"/>
      <c r="D35" s="673">
        <v>0</v>
      </c>
      <c r="E35" s="804"/>
      <c r="F35" s="673">
        <v>0</v>
      </c>
      <c r="G35" s="804"/>
      <c r="H35" s="673">
        <v>0</v>
      </c>
      <c r="I35" s="804"/>
      <c r="J35" s="3823">
        <v>0</v>
      </c>
      <c r="K35" s="1517"/>
      <c r="L35" s="3823">
        <v>0</v>
      </c>
      <c r="M35" s="1517"/>
      <c r="N35" s="3823">
        <v>0</v>
      </c>
      <c r="O35" s="1517"/>
      <c r="P35" s="3823">
        <v>0</v>
      </c>
      <c r="Q35" s="1977"/>
      <c r="R35" s="1768">
        <v>0</v>
      </c>
      <c r="S35" s="1977"/>
      <c r="T35" s="1768">
        <v>0</v>
      </c>
      <c r="U35" s="1977"/>
      <c r="V35" s="1768">
        <f t="shared" si="0"/>
        <v>0</v>
      </c>
      <c r="W35" s="1977"/>
      <c r="X35" s="1768"/>
      <c r="Y35" s="1977"/>
      <c r="Z35" s="1768"/>
      <c r="AA35" s="1978"/>
      <c r="AB35" s="1979"/>
      <c r="AC35" s="1980"/>
      <c r="AD35" s="1768">
        <v>0</v>
      </c>
      <c r="AE35" s="1979"/>
      <c r="AF35" s="1981"/>
      <c r="AG35" s="1768">
        <v>0</v>
      </c>
      <c r="AH35" s="1061"/>
      <c r="AI35" s="64"/>
      <c r="AJ35" s="1012">
        <f t="shared" si="1"/>
        <v>0</v>
      </c>
      <c r="AK35" s="1012"/>
      <c r="AL35" s="1703">
        <f t="shared" ref="AL35:AL39" si="3">ROUND(IF(AG35=0,0,AJ35/ABS(AG35)),3)</f>
        <v>0</v>
      </c>
    </row>
    <row r="36" spans="1:38" s="875" customFormat="1" ht="15" customHeight="1">
      <c r="A36" s="1058"/>
      <c r="B36" s="880" t="s">
        <v>975</v>
      </c>
      <c r="C36" s="104"/>
      <c r="D36" s="673">
        <v>0</v>
      </c>
      <c r="E36" s="804"/>
      <c r="F36" s="673">
        <v>0</v>
      </c>
      <c r="G36" s="804"/>
      <c r="H36" s="673">
        <v>0</v>
      </c>
      <c r="I36" s="804"/>
      <c r="J36" s="3823">
        <v>0</v>
      </c>
      <c r="K36" s="1517"/>
      <c r="L36" s="3823">
        <v>0</v>
      </c>
      <c r="M36" s="1517"/>
      <c r="N36" s="3823">
        <v>0</v>
      </c>
      <c r="O36" s="1517"/>
      <c r="P36" s="3823">
        <v>0</v>
      </c>
      <c r="Q36" s="1977"/>
      <c r="R36" s="1768">
        <v>0</v>
      </c>
      <c r="S36" s="1977"/>
      <c r="T36" s="1768">
        <v>0</v>
      </c>
      <c r="U36" s="1977"/>
      <c r="V36" s="1768">
        <f t="shared" si="0"/>
        <v>0</v>
      </c>
      <c r="W36" s="1977"/>
      <c r="X36" s="1768"/>
      <c r="Y36" s="1977"/>
      <c r="Z36" s="1768"/>
      <c r="AA36" s="1978"/>
      <c r="AB36" s="1979"/>
      <c r="AC36" s="1980"/>
      <c r="AD36" s="1768">
        <v>0</v>
      </c>
      <c r="AE36" s="1979"/>
      <c r="AF36" s="1981"/>
      <c r="AG36" s="1768">
        <v>0</v>
      </c>
      <c r="AH36" s="1061"/>
      <c r="AI36" s="64"/>
      <c r="AJ36" s="1012">
        <f t="shared" si="1"/>
        <v>0</v>
      </c>
      <c r="AK36" s="1012"/>
      <c r="AL36" s="1703">
        <f t="shared" si="3"/>
        <v>0</v>
      </c>
    </row>
    <row r="37" spans="1:38" s="875" customFormat="1" ht="15" customHeight="1">
      <c r="A37" s="1058"/>
      <c r="B37" s="880" t="s">
        <v>976</v>
      </c>
      <c r="C37" s="104"/>
      <c r="D37" s="673">
        <v>0</v>
      </c>
      <c r="E37" s="804"/>
      <c r="F37" s="673">
        <v>0</v>
      </c>
      <c r="G37" s="804"/>
      <c r="H37" s="673">
        <v>0</v>
      </c>
      <c r="I37" s="804"/>
      <c r="J37" s="3823">
        <v>0</v>
      </c>
      <c r="K37" s="1517"/>
      <c r="L37" s="3823">
        <v>0</v>
      </c>
      <c r="M37" s="1517"/>
      <c r="N37" s="3823">
        <v>0</v>
      </c>
      <c r="O37" s="1517"/>
      <c r="P37" s="3823">
        <v>0</v>
      </c>
      <c r="Q37" s="1977"/>
      <c r="R37" s="1768">
        <v>0</v>
      </c>
      <c r="S37" s="1977"/>
      <c r="T37" s="1768">
        <v>0</v>
      </c>
      <c r="U37" s="1977"/>
      <c r="V37" s="1768">
        <f t="shared" si="0"/>
        <v>0</v>
      </c>
      <c r="W37" s="1977"/>
      <c r="X37" s="1768"/>
      <c r="Y37" s="1977"/>
      <c r="Z37" s="1768"/>
      <c r="AA37" s="1978"/>
      <c r="AB37" s="1979"/>
      <c r="AC37" s="1980"/>
      <c r="AD37" s="1768">
        <v>0</v>
      </c>
      <c r="AE37" s="1979"/>
      <c r="AF37" s="1981"/>
      <c r="AG37" s="1768">
        <v>0</v>
      </c>
      <c r="AH37" s="1061"/>
      <c r="AI37" s="64"/>
      <c r="AJ37" s="1012">
        <f t="shared" si="1"/>
        <v>0</v>
      </c>
      <c r="AK37" s="1012"/>
      <c r="AL37" s="1703">
        <f t="shared" si="3"/>
        <v>0</v>
      </c>
    </row>
    <row r="38" spans="1:38" s="875" customFormat="1" ht="15" customHeight="1">
      <c r="A38" s="1058"/>
      <c r="B38" s="880" t="s">
        <v>977</v>
      </c>
      <c r="C38" s="104"/>
      <c r="D38" s="673">
        <v>0</v>
      </c>
      <c r="E38" s="804"/>
      <c r="F38" s="673">
        <v>0</v>
      </c>
      <c r="G38" s="804"/>
      <c r="H38" s="673">
        <v>0</v>
      </c>
      <c r="I38" s="804"/>
      <c r="J38" s="3823">
        <v>0</v>
      </c>
      <c r="K38" s="1517"/>
      <c r="L38" s="3823">
        <v>0</v>
      </c>
      <c r="M38" s="1517"/>
      <c r="N38" s="3823">
        <v>0</v>
      </c>
      <c r="O38" s="1517"/>
      <c r="P38" s="3823">
        <v>0</v>
      </c>
      <c r="Q38" s="1977"/>
      <c r="R38" s="1768">
        <v>0</v>
      </c>
      <c r="S38" s="1977"/>
      <c r="T38" s="1768">
        <v>0</v>
      </c>
      <c r="U38" s="1977"/>
      <c r="V38" s="1768">
        <f t="shared" si="0"/>
        <v>0</v>
      </c>
      <c r="W38" s="1977"/>
      <c r="X38" s="1768"/>
      <c r="Y38" s="1977"/>
      <c r="Z38" s="1768"/>
      <c r="AA38" s="1978"/>
      <c r="AB38" s="1979"/>
      <c r="AC38" s="1980"/>
      <c r="AD38" s="1768">
        <v>0</v>
      </c>
      <c r="AE38" s="1979"/>
      <c r="AF38" s="1981"/>
      <c r="AG38" s="1768">
        <v>0</v>
      </c>
      <c r="AH38" s="1061"/>
      <c r="AI38" s="64"/>
      <c r="AJ38" s="1012">
        <f t="shared" si="1"/>
        <v>0</v>
      </c>
      <c r="AK38" s="1012"/>
      <c r="AL38" s="1703">
        <f t="shared" si="3"/>
        <v>0</v>
      </c>
    </row>
    <row r="39" spans="1:38" s="875" customFormat="1" ht="15" customHeight="1">
      <c r="A39" s="1058"/>
      <c r="B39" s="880" t="s">
        <v>949</v>
      </c>
      <c r="C39" s="104"/>
      <c r="D39" s="673">
        <v>0</v>
      </c>
      <c r="E39" s="804"/>
      <c r="F39" s="673">
        <v>0</v>
      </c>
      <c r="G39" s="804"/>
      <c r="H39" s="673">
        <v>0</v>
      </c>
      <c r="I39" s="804"/>
      <c r="J39" s="3823">
        <v>0</v>
      </c>
      <c r="K39" s="1517"/>
      <c r="L39" s="3823">
        <v>0</v>
      </c>
      <c r="M39" s="1517"/>
      <c r="N39" s="3823">
        <v>0</v>
      </c>
      <c r="O39" s="1517"/>
      <c r="P39" s="3823">
        <v>0</v>
      </c>
      <c r="Q39" s="1977"/>
      <c r="R39" s="1768">
        <v>0</v>
      </c>
      <c r="S39" s="1977"/>
      <c r="T39" s="1768">
        <v>0</v>
      </c>
      <c r="U39" s="1977"/>
      <c r="V39" s="1768">
        <f t="shared" si="0"/>
        <v>0</v>
      </c>
      <c r="W39" s="1977"/>
      <c r="X39" s="1768"/>
      <c r="Y39" s="1977"/>
      <c r="Z39" s="1768"/>
      <c r="AA39" s="1978"/>
      <c r="AB39" s="1979"/>
      <c r="AC39" s="1980"/>
      <c r="AD39" s="1768">
        <v>0</v>
      </c>
      <c r="AE39" s="1979"/>
      <c r="AF39" s="1981"/>
      <c r="AG39" s="1768">
        <v>0</v>
      </c>
      <c r="AH39" s="1061"/>
      <c r="AI39" s="64"/>
      <c r="AJ39" s="1012">
        <f t="shared" si="1"/>
        <v>0</v>
      </c>
      <c r="AK39" s="1012"/>
      <c r="AL39" s="1703">
        <f t="shared" si="3"/>
        <v>0</v>
      </c>
    </row>
    <row r="40" spans="1:38" s="875" customFormat="1" ht="15" customHeight="1">
      <c r="A40" s="1058"/>
      <c r="B40" s="880" t="s">
        <v>1048</v>
      </c>
      <c r="C40" s="104"/>
      <c r="D40" s="673" t="s">
        <v>14</v>
      </c>
      <c r="E40" s="804"/>
      <c r="F40" s="673"/>
      <c r="G40" s="804"/>
      <c r="H40" s="673"/>
      <c r="I40" s="804"/>
      <c r="J40" s="3823"/>
      <c r="K40" s="137"/>
      <c r="L40" s="3823"/>
      <c r="M40" s="137"/>
      <c r="N40" s="3823"/>
      <c r="O40" s="137"/>
      <c r="P40" s="3823"/>
      <c r="Q40" s="1970"/>
      <c r="R40" s="1768"/>
      <c r="S40" s="1970"/>
      <c r="T40" s="1768"/>
      <c r="U40" s="1970"/>
      <c r="V40" s="1768"/>
      <c r="W40" s="1974"/>
      <c r="X40" s="1768"/>
      <c r="Y40" s="1974"/>
      <c r="Z40" s="1768"/>
      <c r="AA40" s="1973"/>
      <c r="AB40" s="1970"/>
      <c r="AC40" s="1975"/>
      <c r="AD40" s="1974"/>
      <c r="AE40" s="1974"/>
      <c r="AF40" s="1976"/>
      <c r="AG40" s="1974"/>
      <c r="AH40" s="1061"/>
      <c r="AI40" s="64"/>
      <c r="AJ40" s="1012"/>
      <c r="AK40" s="1012"/>
      <c r="AL40" s="1432"/>
    </row>
    <row r="41" spans="1:38" s="875" customFormat="1" ht="15" customHeight="1">
      <c r="A41" s="1058"/>
      <c r="B41" s="880" t="s">
        <v>978</v>
      </c>
      <c r="C41" s="104"/>
      <c r="D41" s="673">
        <v>0</v>
      </c>
      <c r="E41" s="804"/>
      <c r="F41" s="673">
        <v>0</v>
      </c>
      <c r="G41" s="804"/>
      <c r="H41" s="673">
        <v>0</v>
      </c>
      <c r="I41" s="804"/>
      <c r="J41" s="3823">
        <v>0</v>
      </c>
      <c r="K41" s="1517"/>
      <c r="L41" s="3823">
        <v>0</v>
      </c>
      <c r="M41" s="1517"/>
      <c r="N41" s="3823">
        <v>0</v>
      </c>
      <c r="O41" s="1517"/>
      <c r="P41" s="3823">
        <v>0</v>
      </c>
      <c r="Q41" s="1977"/>
      <c r="R41" s="1768">
        <v>0</v>
      </c>
      <c r="S41" s="1977"/>
      <c r="T41" s="1768">
        <v>0</v>
      </c>
      <c r="U41" s="1977"/>
      <c r="V41" s="1768">
        <f t="shared" si="0"/>
        <v>0</v>
      </c>
      <c r="W41" s="1977"/>
      <c r="X41" s="1768"/>
      <c r="Y41" s="1977"/>
      <c r="Z41" s="1768"/>
      <c r="AA41" s="1978"/>
      <c r="AB41" s="1979"/>
      <c r="AC41" s="1980"/>
      <c r="AD41" s="1768">
        <v>0</v>
      </c>
      <c r="AE41" s="1979"/>
      <c r="AF41" s="1981"/>
      <c r="AG41" s="1768">
        <v>0</v>
      </c>
      <c r="AH41" s="1061"/>
      <c r="AI41" s="64"/>
      <c r="AJ41" s="1012">
        <f t="shared" si="1"/>
        <v>0</v>
      </c>
      <c r="AK41" s="1012"/>
      <c r="AL41" s="1703">
        <f t="shared" ref="AL41:AL48" si="4">ROUND(IF(AG41=0,0,AJ41/ABS(AG41)),3)</f>
        <v>0</v>
      </c>
    </row>
    <row r="42" spans="1:38" s="875" customFormat="1" ht="15" customHeight="1">
      <c r="A42" s="1058"/>
      <c r="B42" s="880" t="s">
        <v>979</v>
      </c>
      <c r="C42" s="104"/>
      <c r="D42" s="673">
        <v>0</v>
      </c>
      <c r="E42" s="804"/>
      <c r="F42" s="673">
        <v>0</v>
      </c>
      <c r="G42" s="804"/>
      <c r="H42" s="673">
        <v>0</v>
      </c>
      <c r="I42" s="804"/>
      <c r="J42" s="3823">
        <v>0</v>
      </c>
      <c r="K42" s="1517"/>
      <c r="L42" s="3823">
        <v>0</v>
      </c>
      <c r="M42" s="1517"/>
      <c r="N42" s="3823">
        <v>0</v>
      </c>
      <c r="O42" s="1517"/>
      <c r="P42" s="3823">
        <v>0</v>
      </c>
      <c r="Q42" s="1977"/>
      <c r="R42" s="1768">
        <v>0</v>
      </c>
      <c r="S42" s="1977"/>
      <c r="T42" s="1768">
        <v>0</v>
      </c>
      <c r="U42" s="1977"/>
      <c r="V42" s="1768">
        <f t="shared" si="0"/>
        <v>0</v>
      </c>
      <c r="W42" s="1977"/>
      <c r="X42" s="1768"/>
      <c r="Y42" s="1977"/>
      <c r="Z42" s="1768"/>
      <c r="AA42" s="1978"/>
      <c r="AB42" s="1979"/>
      <c r="AC42" s="1980"/>
      <c r="AD42" s="1768">
        <v>0</v>
      </c>
      <c r="AE42" s="1979"/>
      <c r="AF42" s="1981"/>
      <c r="AG42" s="1768">
        <v>0</v>
      </c>
      <c r="AH42" s="1061"/>
      <c r="AI42" s="64"/>
      <c r="AJ42" s="1012">
        <f t="shared" si="1"/>
        <v>0</v>
      </c>
      <c r="AK42" s="1012"/>
      <c r="AL42" s="1703">
        <f t="shared" si="4"/>
        <v>0</v>
      </c>
    </row>
    <row r="43" spans="1:38" s="875" customFormat="1" ht="15" customHeight="1">
      <c r="A43" s="1058"/>
      <c r="B43" s="880" t="s">
        <v>980</v>
      </c>
      <c r="C43" s="104"/>
      <c r="D43" s="673">
        <v>0</v>
      </c>
      <c r="E43" s="804"/>
      <c r="F43" s="673">
        <v>0</v>
      </c>
      <c r="G43" s="804"/>
      <c r="H43" s="673">
        <v>0</v>
      </c>
      <c r="I43" s="804"/>
      <c r="J43" s="3823">
        <v>0</v>
      </c>
      <c r="K43" s="1517"/>
      <c r="L43" s="3823">
        <v>0</v>
      </c>
      <c r="M43" s="1517"/>
      <c r="N43" s="3823">
        <v>0</v>
      </c>
      <c r="O43" s="1517"/>
      <c r="P43" s="3823">
        <v>0</v>
      </c>
      <c r="Q43" s="1977"/>
      <c r="R43" s="1768">
        <v>0</v>
      </c>
      <c r="S43" s="1977"/>
      <c r="T43" s="1768">
        <v>0</v>
      </c>
      <c r="U43" s="1977"/>
      <c r="V43" s="1768">
        <f t="shared" si="0"/>
        <v>0.2</v>
      </c>
      <c r="W43" s="1977"/>
      <c r="X43" s="1768"/>
      <c r="Y43" s="1977"/>
      <c r="Z43" s="1768"/>
      <c r="AA43" s="1978"/>
      <c r="AB43" s="1979"/>
      <c r="AC43" s="1980"/>
      <c r="AD43" s="1768">
        <v>0.2</v>
      </c>
      <c r="AE43" s="1979"/>
      <c r="AF43" s="1981"/>
      <c r="AG43" s="1768">
        <v>0.1</v>
      </c>
      <c r="AH43" s="1061"/>
      <c r="AI43" s="64"/>
      <c r="AJ43" s="1012">
        <f t="shared" si="1"/>
        <v>0.1</v>
      </c>
      <c r="AK43" s="1012"/>
      <c r="AL43" s="1703">
        <f>ROUND(IF(AG43=0,0,AJ43/ABS(AG43)),3)</f>
        <v>1</v>
      </c>
    </row>
    <row r="44" spans="1:38" s="875" customFormat="1" ht="15" customHeight="1">
      <c r="A44" s="1058"/>
      <c r="B44" s="880" t="s">
        <v>981</v>
      </c>
      <c r="C44" s="104"/>
      <c r="D44" s="673">
        <v>0</v>
      </c>
      <c r="E44" s="804"/>
      <c r="F44" s="673">
        <v>0</v>
      </c>
      <c r="G44" s="804"/>
      <c r="H44" s="673">
        <v>0</v>
      </c>
      <c r="I44" s="804"/>
      <c r="J44" s="3823">
        <v>0</v>
      </c>
      <c r="K44" s="1517"/>
      <c r="L44" s="3823">
        <v>0</v>
      </c>
      <c r="M44" s="1517"/>
      <c r="N44" s="3823">
        <v>0</v>
      </c>
      <c r="O44" s="1517"/>
      <c r="P44" s="3823">
        <v>0</v>
      </c>
      <c r="Q44" s="1977"/>
      <c r="R44" s="1768">
        <v>0</v>
      </c>
      <c r="S44" s="1977"/>
      <c r="T44" s="1768">
        <v>0</v>
      </c>
      <c r="U44" s="1977"/>
      <c r="V44" s="1768">
        <f t="shared" si="0"/>
        <v>0</v>
      </c>
      <c r="W44" s="1977"/>
      <c r="X44" s="1768"/>
      <c r="Y44" s="1977"/>
      <c r="Z44" s="1768"/>
      <c r="AA44" s="1978"/>
      <c r="AB44" s="1979"/>
      <c r="AC44" s="1980"/>
      <c r="AD44" s="1768">
        <v>0</v>
      </c>
      <c r="AE44" s="1979"/>
      <c r="AF44" s="1981"/>
      <c r="AG44" s="1768">
        <v>0</v>
      </c>
      <c r="AH44" s="1061"/>
      <c r="AI44" s="64"/>
      <c r="AJ44" s="1012">
        <f t="shared" si="1"/>
        <v>0</v>
      </c>
      <c r="AK44" s="1012"/>
      <c r="AL44" s="1703">
        <f t="shared" si="4"/>
        <v>0</v>
      </c>
    </row>
    <row r="45" spans="1:38" s="875" customFormat="1" ht="15" customHeight="1">
      <c r="A45" s="1058"/>
      <c r="B45" s="880" t="s">
        <v>982</v>
      </c>
      <c r="C45" s="104"/>
      <c r="D45" s="673">
        <v>0</v>
      </c>
      <c r="E45" s="804"/>
      <c r="F45" s="673">
        <v>0</v>
      </c>
      <c r="G45" s="804"/>
      <c r="H45" s="673">
        <v>0</v>
      </c>
      <c r="I45" s="804"/>
      <c r="J45" s="3823">
        <v>0</v>
      </c>
      <c r="K45" s="1517"/>
      <c r="L45" s="3823">
        <v>0</v>
      </c>
      <c r="M45" s="1517"/>
      <c r="N45" s="3823">
        <v>0</v>
      </c>
      <c r="O45" s="1517"/>
      <c r="P45" s="3823">
        <v>0</v>
      </c>
      <c r="Q45" s="1977"/>
      <c r="R45" s="1768">
        <v>0</v>
      </c>
      <c r="S45" s="1977"/>
      <c r="T45" s="1768">
        <v>0</v>
      </c>
      <c r="U45" s="1977"/>
      <c r="V45" s="1768">
        <f t="shared" si="0"/>
        <v>0</v>
      </c>
      <c r="W45" s="1977"/>
      <c r="X45" s="1768"/>
      <c r="Y45" s="1977"/>
      <c r="Z45" s="1768"/>
      <c r="AA45" s="1978"/>
      <c r="AB45" s="1979"/>
      <c r="AC45" s="1980"/>
      <c r="AD45" s="1768">
        <v>0</v>
      </c>
      <c r="AE45" s="1979"/>
      <c r="AF45" s="1981"/>
      <c r="AG45" s="1768">
        <v>0</v>
      </c>
      <c r="AH45" s="1061"/>
      <c r="AI45" s="64"/>
      <c r="AJ45" s="1012">
        <f t="shared" si="1"/>
        <v>0</v>
      </c>
      <c r="AK45" s="1012"/>
      <c r="AL45" s="1703">
        <f t="shared" si="4"/>
        <v>0</v>
      </c>
    </row>
    <row r="46" spans="1:38" s="875" customFormat="1" ht="15" customHeight="1">
      <c r="A46" s="1058"/>
      <c r="B46" s="880" t="s">
        <v>983</v>
      </c>
      <c r="C46" s="104"/>
      <c r="D46" s="673">
        <v>6.6</v>
      </c>
      <c r="E46" s="804"/>
      <c r="F46" s="673">
        <v>7.4</v>
      </c>
      <c r="G46" s="804"/>
      <c r="H46" s="673">
        <v>7</v>
      </c>
      <c r="I46" s="804"/>
      <c r="J46" s="3823">
        <v>7.1</v>
      </c>
      <c r="K46" s="1517"/>
      <c r="L46" s="3823">
        <v>6.7999999999999989</v>
      </c>
      <c r="M46" s="1517"/>
      <c r="N46" s="3823">
        <v>7</v>
      </c>
      <c r="O46" s="1517"/>
      <c r="P46" s="3823">
        <v>6.9999999999999982</v>
      </c>
      <c r="Q46" s="1977"/>
      <c r="R46" s="1768">
        <v>6.7000000000000046</v>
      </c>
      <c r="S46" s="1977"/>
      <c r="T46" s="1768">
        <v>7.6000000000000014</v>
      </c>
      <c r="U46" s="1977"/>
      <c r="V46" s="1768">
        <f t="shared" si="0"/>
        <v>7.2999999999999954</v>
      </c>
      <c r="W46" s="1977"/>
      <c r="X46" s="1768"/>
      <c r="Y46" s="1977"/>
      <c r="Z46" s="1768"/>
      <c r="AA46" s="1978"/>
      <c r="AB46" s="1979"/>
      <c r="AC46" s="1980"/>
      <c r="AD46" s="1768">
        <v>70.5</v>
      </c>
      <c r="AE46" s="1979"/>
      <c r="AF46" s="1981"/>
      <c r="AG46" s="1768">
        <v>76.5</v>
      </c>
      <c r="AH46" s="1061"/>
      <c r="AI46" s="64"/>
      <c r="AJ46" s="1012">
        <f t="shared" si="1"/>
        <v>-6</v>
      </c>
      <c r="AK46" s="1012"/>
      <c r="AL46" s="1703">
        <f t="shared" si="4"/>
        <v>-7.8E-2</v>
      </c>
    </row>
    <row r="47" spans="1:38" ht="15" customHeight="1">
      <c r="A47" s="147"/>
      <c r="B47" s="880" t="s">
        <v>984</v>
      </c>
      <c r="C47" s="28"/>
      <c r="D47" s="673">
        <v>0</v>
      </c>
      <c r="E47" s="804"/>
      <c r="F47" s="673">
        <v>0</v>
      </c>
      <c r="G47" s="804"/>
      <c r="H47" s="673">
        <v>0</v>
      </c>
      <c r="I47" s="804"/>
      <c r="J47" s="3823">
        <v>0</v>
      </c>
      <c r="K47" s="1517"/>
      <c r="L47" s="3823">
        <v>0</v>
      </c>
      <c r="M47" s="1517"/>
      <c r="N47" s="3823">
        <v>0</v>
      </c>
      <c r="O47" s="1517"/>
      <c r="P47" s="3823">
        <v>0</v>
      </c>
      <c r="Q47" s="1977"/>
      <c r="R47" s="1768">
        <v>0</v>
      </c>
      <c r="S47" s="1977"/>
      <c r="T47" s="1768">
        <v>0</v>
      </c>
      <c r="U47" s="1977"/>
      <c r="V47" s="1768">
        <f t="shared" si="0"/>
        <v>0</v>
      </c>
      <c r="W47" s="1977"/>
      <c r="X47" s="1768"/>
      <c r="Y47" s="1977"/>
      <c r="Z47" s="1768"/>
      <c r="AA47" s="1978"/>
      <c r="AB47" s="1979"/>
      <c r="AC47" s="1980"/>
      <c r="AD47" s="1768">
        <v>0</v>
      </c>
      <c r="AE47" s="1979"/>
      <c r="AF47" s="1981"/>
      <c r="AG47" s="1768">
        <v>0</v>
      </c>
      <c r="AH47" s="272"/>
      <c r="AI47" s="53"/>
      <c r="AJ47" s="931">
        <f t="shared" si="1"/>
        <v>0</v>
      </c>
      <c r="AK47" s="931"/>
      <c r="AL47" s="1422">
        <f t="shared" si="4"/>
        <v>0</v>
      </c>
    </row>
    <row r="48" spans="1:38" ht="15" customHeight="1">
      <c r="A48" s="147"/>
      <c r="B48" s="880" t="s">
        <v>985</v>
      </c>
      <c r="C48" s="28"/>
      <c r="D48" s="673">
        <v>0</v>
      </c>
      <c r="E48" s="804"/>
      <c r="F48" s="673">
        <v>0</v>
      </c>
      <c r="G48" s="804"/>
      <c r="H48" s="673">
        <v>0</v>
      </c>
      <c r="I48" s="804"/>
      <c r="J48" s="3823">
        <v>0</v>
      </c>
      <c r="K48" s="1517"/>
      <c r="L48" s="3823">
        <v>0</v>
      </c>
      <c r="M48" s="1517"/>
      <c r="N48" s="3823">
        <v>0</v>
      </c>
      <c r="O48" s="1517"/>
      <c r="P48" s="3823">
        <v>0</v>
      </c>
      <c r="Q48" s="1977"/>
      <c r="R48" s="1768">
        <v>0</v>
      </c>
      <c r="S48" s="1977"/>
      <c r="T48" s="1768">
        <v>0</v>
      </c>
      <c r="U48" s="1977"/>
      <c r="V48" s="1768">
        <f t="shared" si="0"/>
        <v>0</v>
      </c>
      <c r="W48" s="1977"/>
      <c r="X48" s="1768"/>
      <c r="Y48" s="1977"/>
      <c r="Z48" s="1768"/>
      <c r="AA48" s="1978"/>
      <c r="AB48" s="1979"/>
      <c r="AC48" s="1980"/>
      <c r="AD48" s="1768">
        <v>0</v>
      </c>
      <c r="AE48" s="1979"/>
      <c r="AF48" s="1981"/>
      <c r="AG48" s="1768">
        <v>0</v>
      </c>
      <c r="AH48" s="272"/>
      <c r="AI48" s="53"/>
      <c r="AJ48" s="931">
        <f t="shared" si="1"/>
        <v>0</v>
      </c>
      <c r="AK48" s="931"/>
      <c r="AL48" s="1422">
        <f t="shared" si="4"/>
        <v>0</v>
      </c>
    </row>
    <row r="49" spans="1:38" s="875" customFormat="1" ht="15" customHeight="1">
      <c r="A49" s="1058"/>
      <c r="B49" s="880" t="s">
        <v>986</v>
      </c>
      <c r="C49" s="104"/>
      <c r="D49" s="673">
        <v>0.2</v>
      </c>
      <c r="E49" s="804"/>
      <c r="F49" s="673">
        <v>1.5</v>
      </c>
      <c r="G49" s="804"/>
      <c r="H49" s="673">
        <v>1.0999999999999996</v>
      </c>
      <c r="I49" s="804"/>
      <c r="J49" s="3823">
        <v>0.5</v>
      </c>
      <c r="K49" s="1517"/>
      <c r="L49" s="3823">
        <v>2</v>
      </c>
      <c r="M49" s="1517"/>
      <c r="N49" s="3823">
        <v>0.10000000000000053</v>
      </c>
      <c r="O49" s="1517"/>
      <c r="P49" s="3823">
        <v>0.89999999999999947</v>
      </c>
      <c r="Q49" s="1977"/>
      <c r="R49" s="1768">
        <v>0.10000000000000053</v>
      </c>
      <c r="S49" s="1977"/>
      <c r="T49" s="1768">
        <v>0</v>
      </c>
      <c r="U49" s="1977"/>
      <c r="V49" s="1768">
        <f t="shared" si="0"/>
        <v>0.29999999999999982</v>
      </c>
      <c r="W49" s="1977"/>
      <c r="X49" s="1768"/>
      <c r="Y49" s="1977"/>
      <c r="Z49" s="1768"/>
      <c r="AA49" s="1978"/>
      <c r="AB49" s="1979"/>
      <c r="AC49" s="1980"/>
      <c r="AD49" s="1768">
        <v>6.7</v>
      </c>
      <c r="AE49" s="1979"/>
      <c r="AF49" s="1981"/>
      <c r="AG49" s="1768">
        <v>2.9</v>
      </c>
      <c r="AH49" s="1061"/>
      <c r="AI49" s="64"/>
      <c r="AJ49" s="1012">
        <f t="shared" si="1"/>
        <v>3.8</v>
      </c>
      <c r="AK49" s="1012"/>
      <c r="AL49" s="1703">
        <f>ROUND(IF(AG49=0,1,AJ49/ABS(AG49)),3)</f>
        <v>1.31</v>
      </c>
    </row>
    <row r="50" spans="1:38" s="875" customFormat="1" ht="15" customHeight="1">
      <c r="A50" s="1058"/>
      <c r="B50" s="880" t="s">
        <v>959</v>
      </c>
      <c r="C50" s="104"/>
      <c r="D50" s="673">
        <v>0</v>
      </c>
      <c r="E50" s="804"/>
      <c r="F50" s="673">
        <v>0</v>
      </c>
      <c r="G50" s="804"/>
      <c r="H50" s="673">
        <v>0</v>
      </c>
      <c r="I50" s="804"/>
      <c r="J50" s="3823">
        <v>0</v>
      </c>
      <c r="K50" s="1517"/>
      <c r="L50" s="3823">
        <v>0</v>
      </c>
      <c r="M50" s="1517"/>
      <c r="N50" s="3823">
        <v>0</v>
      </c>
      <c r="O50" s="1517"/>
      <c r="P50" s="3823">
        <v>0</v>
      </c>
      <c r="Q50" s="1977"/>
      <c r="R50" s="1768">
        <v>0</v>
      </c>
      <c r="S50" s="1977"/>
      <c r="T50" s="1768">
        <v>0</v>
      </c>
      <c r="U50" s="1977"/>
      <c r="V50" s="1768">
        <f t="shared" si="0"/>
        <v>0</v>
      </c>
      <c r="W50" s="1977"/>
      <c r="X50" s="1768"/>
      <c r="Y50" s="1977"/>
      <c r="Z50" s="1768"/>
      <c r="AA50" s="1978"/>
      <c r="AB50" s="1979"/>
      <c r="AC50" s="1980"/>
      <c r="AD50" s="1768">
        <v>0</v>
      </c>
      <c r="AE50" s="1979"/>
      <c r="AF50" s="1981"/>
      <c r="AG50" s="1768">
        <v>0</v>
      </c>
      <c r="AH50" s="1061"/>
      <c r="AI50" s="64"/>
      <c r="AJ50" s="1012">
        <f t="shared" si="1"/>
        <v>0</v>
      </c>
      <c r="AK50" s="1012"/>
      <c r="AL50" s="1703">
        <f>ROUND(IF(AG50=0,0,AJ50/ABS(AG50)),3)</f>
        <v>0</v>
      </c>
    </row>
    <row r="51" spans="1:38" s="875" customFormat="1" ht="15" customHeight="1">
      <c r="A51" s="1058"/>
      <c r="B51" s="880" t="s">
        <v>960</v>
      </c>
      <c r="C51" s="104"/>
      <c r="D51" s="673">
        <v>0</v>
      </c>
      <c r="E51" s="804"/>
      <c r="F51" s="673">
        <v>0</v>
      </c>
      <c r="G51" s="804"/>
      <c r="H51" s="673">
        <v>0</v>
      </c>
      <c r="I51" s="804"/>
      <c r="J51" s="3823">
        <v>0</v>
      </c>
      <c r="K51" s="1517"/>
      <c r="L51" s="3823">
        <v>0</v>
      </c>
      <c r="M51" s="1517"/>
      <c r="N51" s="3823">
        <v>0</v>
      </c>
      <c r="O51" s="1517"/>
      <c r="P51" s="3823">
        <v>0</v>
      </c>
      <c r="Q51" s="1977"/>
      <c r="R51" s="1768">
        <v>0</v>
      </c>
      <c r="S51" s="1977"/>
      <c r="T51" s="1768">
        <v>0</v>
      </c>
      <c r="U51" s="1977"/>
      <c r="V51" s="1768">
        <f t="shared" si="0"/>
        <v>0</v>
      </c>
      <c r="W51" s="1977"/>
      <c r="X51" s="1768"/>
      <c r="Y51" s="1977"/>
      <c r="Z51" s="1768"/>
      <c r="AA51" s="1978"/>
      <c r="AB51" s="1979"/>
      <c r="AC51" s="1980"/>
      <c r="AD51" s="1768">
        <v>0</v>
      </c>
      <c r="AE51" s="1979"/>
      <c r="AF51" s="1981"/>
      <c r="AG51" s="1768">
        <v>0</v>
      </c>
      <c r="AH51" s="1061"/>
      <c r="AI51" s="64"/>
      <c r="AJ51" s="1012">
        <f t="shared" si="1"/>
        <v>0</v>
      </c>
      <c r="AK51" s="1012"/>
      <c r="AL51" s="1703">
        <f>ROUND(IF(AG51=0,0,AJ51/ABS(AG51)),3)</f>
        <v>0</v>
      </c>
    </row>
    <row r="52" spans="1:38" s="875" customFormat="1" ht="15" customHeight="1">
      <c r="A52" s="1058"/>
      <c r="B52" s="307" t="s">
        <v>1087</v>
      </c>
      <c r="C52" s="104"/>
      <c r="D52" s="1062">
        <f>ROUND(SUM(D19:D51),1)</f>
        <v>13.3</v>
      </c>
      <c r="E52" s="879"/>
      <c r="F52" s="1062">
        <f>ROUND(SUM(F19:F51),1)</f>
        <v>45.4</v>
      </c>
      <c r="G52" s="879"/>
      <c r="H52" s="1062">
        <f>ROUND(SUM(H19:H51),1)</f>
        <v>9.1999999999999993</v>
      </c>
      <c r="I52" s="879"/>
      <c r="J52" s="1062">
        <f>ROUND(SUM(J19:J51),1)</f>
        <v>10.7</v>
      </c>
      <c r="K52" s="137"/>
      <c r="L52" s="1062">
        <f>ROUND(SUM(L19:L51),1)</f>
        <v>21</v>
      </c>
      <c r="M52" s="137"/>
      <c r="N52" s="1062">
        <f>ROUND(SUM(N19:N51),1)</f>
        <v>8.4</v>
      </c>
      <c r="O52" s="137"/>
      <c r="P52" s="1982">
        <f>ROUND(SUM(P19:P51),1)</f>
        <v>10.5</v>
      </c>
      <c r="Q52" s="1970"/>
      <c r="R52" s="1982">
        <f>ROUND(SUM(R19:R51),1)</f>
        <v>16.2</v>
      </c>
      <c r="S52" s="1970"/>
      <c r="T52" s="1982">
        <f>ROUND(SUM(T19:T51),1)</f>
        <v>9.1</v>
      </c>
      <c r="U52" s="1970"/>
      <c r="V52" s="1982">
        <f>ROUND(SUM(V19:V51),1)</f>
        <v>10.8</v>
      </c>
      <c r="W52" s="1974"/>
      <c r="X52" s="1982">
        <f>ROUND(SUM(X19:X51),1)</f>
        <v>0</v>
      </c>
      <c r="Y52" s="1974"/>
      <c r="Z52" s="1982">
        <f>ROUND(SUM(Z19:Z51),1)</f>
        <v>0</v>
      </c>
      <c r="AA52" s="1983"/>
      <c r="AB52" s="1970"/>
      <c r="AC52" s="1975"/>
      <c r="AD52" s="1982">
        <f>ROUND(SUM(AD19:AD51),1)</f>
        <v>154.6</v>
      </c>
      <c r="AE52" s="1974"/>
      <c r="AF52" s="1976"/>
      <c r="AG52" s="1982">
        <f>ROUND(SUM(AG19:AG51),1)</f>
        <v>158.6</v>
      </c>
      <c r="AH52" s="1061"/>
      <c r="AI52" s="64"/>
      <c r="AJ52" s="1062">
        <f>ROUND(SUM(AJ19:AJ51),1)</f>
        <v>-4</v>
      </c>
      <c r="AK52" s="1012"/>
      <c r="AL52" s="1434">
        <f>ROUND(SUM((AD52-AG52)/ABS(AG52)),3)</f>
        <v>-2.5000000000000001E-2</v>
      </c>
    </row>
    <row r="53" spans="1:38" s="875" customFormat="1" ht="15" customHeight="1">
      <c r="A53" s="1058"/>
      <c r="B53" s="880"/>
      <c r="C53" s="104"/>
      <c r="D53" s="673"/>
      <c r="E53" s="879"/>
      <c r="F53" s="1110"/>
      <c r="G53" s="879"/>
      <c r="H53" s="883"/>
      <c r="I53" s="879"/>
      <c r="J53" s="883"/>
      <c r="K53" s="137"/>
      <c r="L53" s="883"/>
      <c r="M53" s="137"/>
      <c r="N53" s="115"/>
      <c r="O53" s="137"/>
      <c r="P53" s="1969"/>
      <c r="Q53" s="1970"/>
      <c r="R53" s="1971"/>
      <c r="S53" s="1970"/>
      <c r="T53" s="1972"/>
      <c r="U53" s="1970"/>
      <c r="V53" s="1973"/>
      <c r="W53" s="1974"/>
      <c r="X53" s="1973"/>
      <c r="Y53" s="1974"/>
      <c r="Z53" s="1973"/>
      <c r="AA53" s="1973"/>
      <c r="AB53" s="1970"/>
      <c r="AC53" s="1975"/>
      <c r="AD53" s="1974"/>
      <c r="AE53" s="1974"/>
      <c r="AF53" s="1976"/>
      <c r="AG53" s="1974"/>
      <c r="AH53" s="1061"/>
      <c r="AI53" s="64"/>
      <c r="AJ53" s="1012"/>
      <c r="AK53" s="1012"/>
      <c r="AL53" s="1432"/>
    </row>
    <row r="54" spans="1:38" ht="15" customHeight="1">
      <c r="A54" s="147"/>
      <c r="B54" s="277" t="s">
        <v>148</v>
      </c>
      <c r="C54" s="28"/>
      <c r="D54" s="673">
        <v>7158.4</v>
      </c>
      <c r="E54" s="804"/>
      <c r="F54" s="673">
        <v>18222.900000000001</v>
      </c>
      <c r="G54" s="804"/>
      <c r="H54" s="673">
        <v>7375</v>
      </c>
      <c r="I54" s="804"/>
      <c r="J54" s="3823">
        <v>5735.6999999999971</v>
      </c>
      <c r="K54" s="1517"/>
      <c r="L54" s="3823">
        <v>5788.5</v>
      </c>
      <c r="M54" s="1517"/>
      <c r="N54" s="3823">
        <v>7398.0999999999985</v>
      </c>
      <c r="O54" s="1517"/>
      <c r="P54" s="3823">
        <v>7039.0999999999985</v>
      </c>
      <c r="Q54" s="1977"/>
      <c r="R54" s="1768">
        <v>5695.5</v>
      </c>
      <c r="S54" s="1977"/>
      <c r="T54" s="1768">
        <v>10043.900000000016</v>
      </c>
      <c r="U54" s="1977"/>
      <c r="V54" s="1768">
        <f t="shared" ref="V54" si="5">$AD54-$D54-$F54-$H54-$J54-$L54-$N54-$P54-T54-R54</f>
        <v>5570.5</v>
      </c>
      <c r="W54" s="1977"/>
      <c r="X54" s="1768"/>
      <c r="Y54" s="1977"/>
      <c r="Z54" s="1768"/>
      <c r="AA54" s="1978"/>
      <c r="AB54" s="1979"/>
      <c r="AC54" s="1980"/>
      <c r="AD54" s="1768">
        <v>80027.600000000006</v>
      </c>
      <c r="AE54" s="1979"/>
      <c r="AF54" s="1981"/>
      <c r="AG54" s="1768">
        <v>66357.399999999994</v>
      </c>
      <c r="AH54" s="272"/>
      <c r="AI54" s="53"/>
      <c r="AJ54" s="931">
        <f>ROUND(SUM(+AD54-AG54),1)</f>
        <v>13670.2</v>
      </c>
      <c r="AK54" s="931"/>
      <c r="AL54" s="1435">
        <f>ROUND(SUM((AD54-AG54)/ABS(AG54)),3)</f>
        <v>0.20599999999999999</v>
      </c>
    </row>
    <row r="55" spans="1:38" ht="15" customHeight="1">
      <c r="A55" s="147"/>
      <c r="B55" s="28"/>
      <c r="C55" s="28"/>
      <c r="D55" s="1819"/>
      <c r="E55" s="804"/>
      <c r="F55" s="3642"/>
      <c r="G55" s="804"/>
      <c r="H55" s="1819"/>
      <c r="I55" s="804"/>
      <c r="J55" s="1819"/>
      <c r="K55" s="162"/>
      <c r="L55" s="1819"/>
      <c r="M55" s="162"/>
      <c r="N55" s="165"/>
      <c r="O55" s="162"/>
      <c r="P55" s="1451"/>
      <c r="Q55" s="1447"/>
      <c r="R55" s="1451"/>
      <c r="S55" s="1447"/>
      <c r="T55" s="1984"/>
      <c r="U55" s="1447"/>
      <c r="V55" s="1984"/>
      <c r="W55" s="1985"/>
      <c r="X55" s="1984"/>
      <c r="Y55" s="1985"/>
      <c r="Z55" s="1984"/>
      <c r="AA55" s="1986"/>
      <c r="AB55" s="1447"/>
      <c r="AC55" s="1987"/>
      <c r="AD55" s="2030"/>
      <c r="AE55" s="1956"/>
      <c r="AF55" s="1976"/>
      <c r="AG55" s="2030"/>
      <c r="AH55" s="272"/>
      <c r="AI55" s="53"/>
      <c r="AJ55" s="1396"/>
      <c r="AK55" s="1397"/>
      <c r="AL55" s="1436"/>
    </row>
    <row r="56" spans="1:38" ht="15" customHeight="1">
      <c r="A56" s="147"/>
      <c r="B56" s="26" t="s">
        <v>149</v>
      </c>
      <c r="C56" s="28"/>
      <c r="D56" s="910">
        <f>ROUND(SUM(+D52+D54),2)</f>
        <v>7171.7</v>
      </c>
      <c r="E56" s="204"/>
      <c r="F56" s="109">
        <f>ROUND(SUM(+F52+F54),2)</f>
        <v>18268.3</v>
      </c>
      <c r="G56" s="204"/>
      <c r="H56" s="910">
        <f>ROUND(SUM(+H52+H54),2)</f>
        <v>7384.2</v>
      </c>
      <c r="I56" s="204"/>
      <c r="J56" s="910">
        <f>ROUND(SUM(+J52+J54),2)</f>
        <v>5746.4</v>
      </c>
      <c r="K56" s="204"/>
      <c r="L56" s="910">
        <f>ROUND(SUM(+L52+L54),2)</f>
        <v>5809.5</v>
      </c>
      <c r="M56" s="204"/>
      <c r="N56" s="910">
        <f>ROUND(SUM(+N52+N54),2)</f>
        <v>7406.5</v>
      </c>
      <c r="O56" s="204"/>
      <c r="P56" s="1445">
        <f>ROUND(SUM(+P52+P54),2)</f>
        <v>7049.6</v>
      </c>
      <c r="Q56" s="1989"/>
      <c r="R56" s="1445">
        <f>ROUND(SUM(+R52+R54),2)</f>
        <v>5711.7</v>
      </c>
      <c r="S56" s="1989"/>
      <c r="T56" s="1445">
        <f>ROUND(SUM(+T52+T54),2)</f>
        <v>10053</v>
      </c>
      <c r="U56" s="1989"/>
      <c r="V56" s="1445">
        <f>ROUND(SUM(+V52+V54),2)</f>
        <v>5581.3</v>
      </c>
      <c r="W56" s="1445"/>
      <c r="X56" s="1445">
        <f>ROUND(SUM(+X52+X54),2)</f>
        <v>0</v>
      </c>
      <c r="Y56" s="1445"/>
      <c r="Z56" s="1445">
        <f>ROUND(SUM(+Z52+Z54),2)</f>
        <v>0</v>
      </c>
      <c r="AA56" s="1445"/>
      <c r="AB56" s="1989"/>
      <c r="AC56" s="1990"/>
      <c r="AD56" s="2029">
        <f>ROUND(SUM(+AD52+AD54),1)</f>
        <v>80182.2</v>
      </c>
      <c r="AE56" s="1446"/>
      <c r="AF56" s="3098"/>
      <c r="AG56" s="2029">
        <f>ROUND(SUM(+AG52+AG54),1)</f>
        <v>66516</v>
      </c>
      <c r="AH56" s="279"/>
      <c r="AI56" s="73"/>
      <c r="AJ56" s="817">
        <f>ROUND(SUM(+AJ52+AJ54),1)</f>
        <v>13666.2</v>
      </c>
      <c r="AK56" s="281"/>
      <c r="AL56" s="1437">
        <f>ROUND(SUM((AD56-AG56)/ABS(AG56)),3)</f>
        <v>0.20499999999999999</v>
      </c>
    </row>
    <row r="57" spans="1:38" ht="15" customHeight="1">
      <c r="A57" s="147"/>
      <c r="B57" s="28"/>
      <c r="C57" s="28"/>
      <c r="D57" s="1819"/>
      <c r="E57" s="804"/>
      <c r="F57" s="1030"/>
      <c r="G57" s="804"/>
      <c r="H57" s="677"/>
      <c r="I57" s="804"/>
      <c r="J57" s="677"/>
      <c r="K57" s="162"/>
      <c r="L57" s="677"/>
      <c r="M57" s="162"/>
      <c r="N57" s="85"/>
      <c r="O57" s="162"/>
      <c r="P57" s="1984"/>
      <c r="Q57" s="1447"/>
      <c r="R57" s="1984"/>
      <c r="S57" s="1447"/>
      <c r="T57" s="1984"/>
      <c r="U57" s="1447"/>
      <c r="V57" s="2030"/>
      <c r="W57" s="1974"/>
      <c r="X57" s="2030"/>
      <c r="Y57" s="1974"/>
      <c r="Z57" s="2030"/>
      <c r="AA57" s="1956"/>
      <c r="AB57" s="1970"/>
      <c r="AC57" s="1975"/>
      <c r="AD57" s="2148"/>
      <c r="AE57" s="1997"/>
      <c r="AF57" s="3124"/>
      <c r="AG57" s="2148"/>
      <c r="AH57" s="1788"/>
      <c r="AI57" s="1077"/>
      <c r="AJ57" s="1789"/>
      <c r="AK57" s="1789"/>
      <c r="AL57" s="1790"/>
    </row>
    <row r="58" spans="1:38" ht="15" customHeight="1">
      <c r="A58" s="147"/>
      <c r="B58" s="170" t="s">
        <v>22</v>
      </c>
      <c r="C58" s="28"/>
      <c r="D58" s="804"/>
      <c r="E58" s="804"/>
      <c r="F58" s="883"/>
      <c r="G58" s="804"/>
      <c r="H58" s="1511"/>
      <c r="I58" s="804"/>
      <c r="J58" s="1511"/>
      <c r="K58" s="162"/>
      <c r="L58" s="1511"/>
      <c r="M58" s="162"/>
      <c r="N58" s="63"/>
      <c r="O58" s="162"/>
      <c r="P58" s="1985"/>
      <c r="Q58" s="1447"/>
      <c r="R58" s="1985"/>
      <c r="S58" s="1447"/>
      <c r="T58" s="1985"/>
      <c r="U58" s="1447"/>
      <c r="V58" s="1974"/>
      <c r="W58" s="1974"/>
      <c r="X58" s="1974"/>
      <c r="Y58" s="1974"/>
      <c r="Z58" s="1974"/>
      <c r="AA58" s="1974"/>
      <c r="AB58" s="1970"/>
      <c r="AC58" s="1975"/>
      <c r="AD58" s="1970"/>
      <c r="AE58" s="1997"/>
      <c r="AF58" s="3124"/>
      <c r="AG58" s="1970"/>
      <c r="AH58" s="1788"/>
      <c r="AI58" s="1077"/>
      <c r="AJ58" s="1789"/>
      <c r="AK58" s="1789"/>
      <c r="AL58" s="1790"/>
    </row>
    <row r="59" spans="1:38" ht="15" customHeight="1">
      <c r="A59" s="147"/>
      <c r="B59" s="679" t="s">
        <v>150</v>
      </c>
      <c r="C59" s="28"/>
      <c r="D59" s="671"/>
      <c r="E59" s="804"/>
      <c r="F59" s="673"/>
      <c r="G59" s="804"/>
      <c r="H59" s="673"/>
      <c r="I59" s="804"/>
      <c r="J59" s="673"/>
      <c r="K59" s="162"/>
      <c r="L59" s="673"/>
      <c r="M59" s="162"/>
      <c r="N59" s="116"/>
      <c r="O59" s="162"/>
      <c r="P59" s="1993"/>
      <c r="Q59" s="1447"/>
      <c r="R59" s="1994"/>
      <c r="S59" s="1447"/>
      <c r="T59" s="1994"/>
      <c r="U59" s="1447"/>
      <c r="V59" s="1974"/>
      <c r="W59" s="1974"/>
      <c r="X59" s="1974"/>
      <c r="Y59" s="1974"/>
      <c r="Z59" s="1974"/>
      <c r="AA59" s="1974"/>
      <c r="AB59" s="1970"/>
      <c r="AC59" s="1975"/>
      <c r="AD59" s="1970"/>
      <c r="AE59" s="1997"/>
      <c r="AF59" s="3124"/>
      <c r="AG59" s="1970"/>
      <c r="AH59" s="1788"/>
      <c r="AI59" s="1077"/>
      <c r="AJ59" s="1776"/>
      <c r="AK59" s="1789"/>
      <c r="AL59" s="1794"/>
    </row>
    <row r="60" spans="1:38" s="875" customFormat="1" ht="15" customHeight="1">
      <c r="A60" s="1058"/>
      <c r="B60" s="1792" t="s">
        <v>24</v>
      </c>
      <c r="C60" s="104"/>
      <c r="D60" s="673">
        <v>272.8</v>
      </c>
      <c r="E60" s="804"/>
      <c r="F60" s="673">
        <v>481.09999999999997</v>
      </c>
      <c r="G60" s="804"/>
      <c r="H60" s="673">
        <v>867.40000000000009</v>
      </c>
      <c r="I60" s="804"/>
      <c r="J60" s="3823">
        <v>384</v>
      </c>
      <c r="K60" s="1517"/>
      <c r="L60" s="3823">
        <v>684.39999999999964</v>
      </c>
      <c r="M60" s="1517"/>
      <c r="N60" s="3823">
        <v>351.20000000000027</v>
      </c>
      <c r="O60" s="673"/>
      <c r="P60" s="3823">
        <v>644.40000000000009</v>
      </c>
      <c r="Q60" s="1977"/>
      <c r="R60" s="1768">
        <v>401.79999999999973</v>
      </c>
      <c r="S60" s="1977"/>
      <c r="T60" s="1768">
        <v>799.09999999999945</v>
      </c>
      <c r="U60" s="1977"/>
      <c r="V60" s="1768">
        <f t="shared" ref="V60:V62" si="6">$AD60-$D60-$F60-$H60-$J60-$L60-$N60-$P60-T60-R60</f>
        <v>327.60000000000036</v>
      </c>
      <c r="W60" s="1977"/>
      <c r="X60" s="1768"/>
      <c r="Y60" s="1977"/>
      <c r="Z60" s="1768"/>
      <c r="AA60" s="1978"/>
      <c r="AB60" s="1979"/>
      <c r="AC60" s="1980"/>
      <c r="AD60" s="1768">
        <v>5213.8</v>
      </c>
      <c r="AE60" s="1979"/>
      <c r="AF60" s="1981"/>
      <c r="AG60" s="1768">
        <v>2514.9</v>
      </c>
      <c r="AH60" s="1061"/>
      <c r="AI60" s="64"/>
      <c r="AJ60" s="883">
        <f>ROUND(SUM(+AD60-AG60),1)</f>
        <v>2698.9</v>
      </c>
      <c r="AK60" s="883"/>
      <c r="AL60" s="1703">
        <f>ROUND(IF(AG60=0,0,AJ60/ABS(AG60)),3)</f>
        <v>1.073</v>
      </c>
    </row>
    <row r="61" spans="1:38" ht="15" customHeight="1">
      <c r="A61" s="147"/>
      <c r="B61" s="176" t="s">
        <v>25</v>
      </c>
      <c r="C61" s="28"/>
      <c r="D61" s="673">
        <v>0.3</v>
      </c>
      <c r="E61" s="804"/>
      <c r="F61" s="673">
        <v>0.10000000000000003</v>
      </c>
      <c r="G61" s="804"/>
      <c r="H61" s="673">
        <v>0</v>
      </c>
      <c r="I61" s="804"/>
      <c r="J61" s="3823">
        <v>9.9999999999999978E-2</v>
      </c>
      <c r="K61" s="1517"/>
      <c r="L61" s="3823">
        <v>9.9999999999999978E-2</v>
      </c>
      <c r="M61" s="1517"/>
      <c r="N61" s="3823">
        <v>0</v>
      </c>
      <c r="O61" s="1517"/>
      <c r="P61" s="3823">
        <v>0</v>
      </c>
      <c r="Q61" s="1977"/>
      <c r="R61" s="1768">
        <v>0.2</v>
      </c>
      <c r="S61" s="1977"/>
      <c r="T61" s="1768">
        <v>0.10000000000000003</v>
      </c>
      <c r="U61" s="1977"/>
      <c r="V61" s="1768">
        <f t="shared" si="6"/>
        <v>0</v>
      </c>
      <c r="W61" s="1977"/>
      <c r="X61" s="1768"/>
      <c r="Y61" s="1977"/>
      <c r="Z61" s="1768"/>
      <c r="AA61" s="1978"/>
      <c r="AB61" s="1979"/>
      <c r="AC61" s="1980"/>
      <c r="AD61" s="1768">
        <v>0.9</v>
      </c>
      <c r="AE61" s="1979"/>
      <c r="AF61" s="1981"/>
      <c r="AG61" s="1768">
        <v>0.6</v>
      </c>
      <c r="AH61" s="1061"/>
      <c r="AI61" s="64"/>
      <c r="AJ61" s="883">
        <f>ROUND(SUM(+AD61-AG61),1)</f>
        <v>0.3</v>
      </c>
      <c r="AK61" s="883"/>
      <c r="AL61" s="1808">
        <f>ROUND(IF(AG61=0,1,AJ61/ABS(AG61)),3)</f>
        <v>0.5</v>
      </c>
    </row>
    <row r="62" spans="1:38" s="875" customFormat="1" ht="15" customHeight="1">
      <c r="A62" s="1058"/>
      <c r="B62" s="1792" t="s">
        <v>26</v>
      </c>
      <c r="C62" s="104"/>
      <c r="D62" s="673">
        <v>11.2</v>
      </c>
      <c r="E62" s="804"/>
      <c r="F62" s="673">
        <v>21.900000000000002</v>
      </c>
      <c r="G62" s="804"/>
      <c r="H62" s="673">
        <v>10</v>
      </c>
      <c r="I62" s="804"/>
      <c r="J62" s="3823">
        <v>438.50000000000006</v>
      </c>
      <c r="K62" s="1517"/>
      <c r="L62" s="3823">
        <v>10.699999999999989</v>
      </c>
      <c r="M62" s="1517"/>
      <c r="N62" s="3823">
        <v>16.099999999999966</v>
      </c>
      <c r="O62" s="1517"/>
      <c r="P62" s="3823">
        <v>1.7000000000000455</v>
      </c>
      <c r="Q62" s="1977"/>
      <c r="R62" s="1768">
        <v>5.1000000000000227</v>
      </c>
      <c r="S62" s="1977"/>
      <c r="T62" s="1768">
        <v>22.299999999999898</v>
      </c>
      <c r="U62" s="1977"/>
      <c r="V62" s="1768">
        <f t="shared" si="6"/>
        <v>1.7000000000000455</v>
      </c>
      <c r="W62" s="1977"/>
      <c r="X62" s="1768"/>
      <c r="Y62" s="1977"/>
      <c r="Z62" s="1768"/>
      <c r="AA62" s="1978"/>
      <c r="AB62" s="1979"/>
      <c r="AC62" s="1980"/>
      <c r="AD62" s="1768">
        <v>539.20000000000005</v>
      </c>
      <c r="AE62" s="1979"/>
      <c r="AF62" s="1981"/>
      <c r="AG62" s="1768">
        <v>4219.2</v>
      </c>
      <c r="AH62" s="1061"/>
      <c r="AI62" s="64"/>
      <c r="AJ62" s="883">
        <f>ROUND(SUM(+AD62-AG62),1)</f>
        <v>-3680</v>
      </c>
      <c r="AK62" s="883"/>
      <c r="AL62" s="3708">
        <f>ROUND(IF(AG62=0,0,AJ62/ABS(AG62)),3)</f>
        <v>-0.872</v>
      </c>
    </row>
    <row r="63" spans="1:38" s="875" customFormat="1" ht="15" customHeight="1">
      <c r="A63" s="1058"/>
      <c r="B63" s="1792" t="s">
        <v>27</v>
      </c>
      <c r="C63" s="104"/>
      <c r="D63" s="673" t="s">
        <v>14</v>
      </c>
      <c r="E63" s="804"/>
      <c r="F63" s="673"/>
      <c r="G63" s="804"/>
      <c r="H63" s="673"/>
      <c r="I63" s="804"/>
      <c r="J63" s="3823"/>
      <c r="K63" s="1517"/>
      <c r="L63" s="3823"/>
      <c r="M63" s="1517"/>
      <c r="N63" s="3823"/>
      <c r="O63" s="1517"/>
      <c r="P63" s="3823"/>
      <c r="Q63" s="1977"/>
      <c r="R63" s="1768"/>
      <c r="S63" s="1977"/>
      <c r="T63" s="1768"/>
      <c r="U63" s="1977"/>
      <c r="V63" s="1768"/>
      <c r="W63" s="1977"/>
      <c r="X63" s="1768"/>
      <c r="Y63" s="1977"/>
      <c r="Z63" s="1768"/>
      <c r="AA63" s="1978"/>
      <c r="AB63" s="1979"/>
      <c r="AC63" s="1980"/>
      <c r="AD63" s="1768"/>
      <c r="AE63" s="1979"/>
      <c r="AF63" s="1981"/>
      <c r="AG63" s="1768"/>
      <c r="AH63" s="1061"/>
      <c r="AI63" s="64"/>
      <c r="AJ63" s="673"/>
      <c r="AK63" s="1776"/>
      <c r="AL63" s="1794"/>
    </row>
    <row r="64" spans="1:38" s="875" customFormat="1" ht="15" customHeight="1">
      <c r="A64" s="1058"/>
      <c r="B64" s="1793" t="s">
        <v>28</v>
      </c>
      <c r="C64" s="104"/>
      <c r="D64" s="673">
        <v>3371.2</v>
      </c>
      <c r="E64" s="804"/>
      <c r="F64" s="673">
        <v>3740.5</v>
      </c>
      <c r="G64" s="804"/>
      <c r="H64" s="673">
        <v>4328.8</v>
      </c>
      <c r="I64" s="804"/>
      <c r="J64" s="3823">
        <v>3262.2999999999984</v>
      </c>
      <c r="K64" s="1517"/>
      <c r="L64" s="3823">
        <v>3980.7000000000007</v>
      </c>
      <c r="M64" s="1517"/>
      <c r="N64" s="3823">
        <v>3710.5999999999995</v>
      </c>
      <c r="O64" s="1517"/>
      <c r="P64" s="3823">
        <v>4260.6000000000013</v>
      </c>
      <c r="Q64" s="1977"/>
      <c r="R64" s="1768">
        <v>3674.7000000000007</v>
      </c>
      <c r="S64" s="1977"/>
      <c r="T64" s="1768">
        <v>4693.5999999999985</v>
      </c>
      <c r="U64" s="1977"/>
      <c r="V64" s="1768">
        <f t="shared" ref="V64:V69" si="7">$AD64-$D64-$F64-$H64-$J64-$L64-$N64-$P64-T64-R64</f>
        <v>3817.2000000000007</v>
      </c>
      <c r="W64" s="1977"/>
      <c r="X64" s="1768"/>
      <c r="Y64" s="1977"/>
      <c r="Z64" s="1768"/>
      <c r="AA64" s="1978"/>
      <c r="AB64" s="1979"/>
      <c r="AC64" s="1980"/>
      <c r="AD64" s="1768">
        <v>38840.199999999997</v>
      </c>
      <c r="AE64" s="1979"/>
      <c r="AF64" s="1981"/>
      <c r="AG64" s="1768">
        <v>37910.1</v>
      </c>
      <c r="AH64" s="1061"/>
      <c r="AI64" s="64"/>
      <c r="AJ64" s="883">
        <f t="shared" ref="AJ64:AJ69" si="8">ROUND(SUM(+AD64-AG64),1)</f>
        <v>930.1</v>
      </c>
      <c r="AK64" s="883"/>
      <c r="AL64" s="1703">
        <f t="shared" ref="AL64:AL69" si="9">ROUND(IF(AG64=0,0,AJ64/ABS(AG64)),3)</f>
        <v>2.5000000000000001E-2</v>
      </c>
    </row>
    <row r="65" spans="1:38" s="875" customFormat="1" ht="15" customHeight="1">
      <c r="A65" s="1058"/>
      <c r="B65" s="1792" t="s">
        <v>29</v>
      </c>
      <c r="C65" s="104"/>
      <c r="D65" s="673">
        <v>521.6</v>
      </c>
      <c r="E65" s="804"/>
      <c r="F65" s="673">
        <v>509.69999999999993</v>
      </c>
      <c r="G65" s="804"/>
      <c r="H65" s="673">
        <v>726.70000000000016</v>
      </c>
      <c r="I65" s="804"/>
      <c r="J65" s="3823">
        <v>652.19999999999993</v>
      </c>
      <c r="K65" s="1517"/>
      <c r="L65" s="3823">
        <v>627.4</v>
      </c>
      <c r="M65" s="1517"/>
      <c r="N65" s="3823">
        <v>746.3000000000003</v>
      </c>
      <c r="O65" s="1517"/>
      <c r="P65" s="3823">
        <v>583.99999999999943</v>
      </c>
      <c r="Q65" s="1977"/>
      <c r="R65" s="1768">
        <v>526.6</v>
      </c>
      <c r="S65" s="1977"/>
      <c r="T65" s="1768">
        <v>792.39999999999952</v>
      </c>
      <c r="U65" s="1977"/>
      <c r="V65" s="1768">
        <f t="shared" si="7"/>
        <v>613.30000000000052</v>
      </c>
      <c r="W65" s="1977"/>
      <c r="X65" s="1768"/>
      <c r="Y65" s="1977"/>
      <c r="Z65" s="1768"/>
      <c r="AA65" s="1978"/>
      <c r="AB65" s="1979"/>
      <c r="AC65" s="1980"/>
      <c r="AD65" s="1768">
        <v>6300.2</v>
      </c>
      <c r="AE65" s="1979"/>
      <c r="AF65" s="1981"/>
      <c r="AG65" s="1768">
        <v>5472.3</v>
      </c>
      <c r="AH65" s="1061"/>
      <c r="AI65" s="64"/>
      <c r="AJ65" s="883">
        <f t="shared" si="8"/>
        <v>827.9</v>
      </c>
      <c r="AK65" s="883"/>
      <c r="AL65" s="1703">
        <f t="shared" si="9"/>
        <v>0.151</v>
      </c>
    </row>
    <row r="66" spans="1:38" s="875" customFormat="1" ht="15" customHeight="1">
      <c r="A66" s="1058"/>
      <c r="B66" s="1792" t="s">
        <v>30</v>
      </c>
      <c r="C66" s="104"/>
      <c r="D66" s="673">
        <v>103.9</v>
      </c>
      <c r="E66" s="804"/>
      <c r="F66" s="673">
        <v>88</v>
      </c>
      <c r="G66" s="804"/>
      <c r="H66" s="673">
        <v>128.4</v>
      </c>
      <c r="I66" s="804"/>
      <c r="J66" s="3823">
        <v>197.20000000000002</v>
      </c>
      <c r="K66" s="1517"/>
      <c r="L66" s="3823">
        <v>62.400000000000006</v>
      </c>
      <c r="M66" s="1517"/>
      <c r="N66" s="3823">
        <v>184</v>
      </c>
      <c r="O66" s="1517"/>
      <c r="P66" s="3823">
        <v>138.30000000000007</v>
      </c>
      <c r="Q66" s="1977"/>
      <c r="R66" s="1768">
        <v>60.5</v>
      </c>
      <c r="S66" s="1977"/>
      <c r="T66" s="1768">
        <v>192.89999999999975</v>
      </c>
      <c r="U66" s="1977"/>
      <c r="V66" s="1768">
        <f t="shared" si="7"/>
        <v>454.19999999999982</v>
      </c>
      <c r="W66" s="1977"/>
      <c r="X66" s="1768"/>
      <c r="Y66" s="1977"/>
      <c r="Z66" s="1768"/>
      <c r="AA66" s="1978"/>
      <c r="AB66" s="1979"/>
      <c r="AC66" s="1980"/>
      <c r="AD66" s="1768">
        <v>1609.8</v>
      </c>
      <c r="AE66" s="1979"/>
      <c r="AF66" s="1981"/>
      <c r="AG66" s="1768">
        <v>1521.2</v>
      </c>
      <c r="AH66" s="1061"/>
      <c r="AI66" s="64"/>
      <c r="AJ66" s="883">
        <f t="shared" si="8"/>
        <v>88.6</v>
      </c>
      <c r="AK66" s="883"/>
      <c r="AL66" s="1703">
        <f t="shared" si="9"/>
        <v>5.8000000000000003E-2</v>
      </c>
    </row>
    <row r="67" spans="1:38" s="875" customFormat="1" ht="15" customHeight="1">
      <c r="A67" s="1058"/>
      <c r="B67" s="1792" t="s">
        <v>31</v>
      </c>
      <c r="C67" s="104"/>
      <c r="D67" s="673">
        <v>158.5</v>
      </c>
      <c r="E67" s="804"/>
      <c r="F67" s="673">
        <v>200.39999999999998</v>
      </c>
      <c r="G67" s="804"/>
      <c r="H67" s="673">
        <v>496.1</v>
      </c>
      <c r="I67" s="804"/>
      <c r="J67" s="3823">
        <v>632.0999999999998</v>
      </c>
      <c r="K67" s="1517"/>
      <c r="L67" s="3823">
        <v>690.8000000000003</v>
      </c>
      <c r="M67" s="1517"/>
      <c r="N67" s="3823">
        <v>1389.4</v>
      </c>
      <c r="O67" s="1517"/>
      <c r="P67" s="3823">
        <v>716.89999999999964</v>
      </c>
      <c r="Q67" s="1977"/>
      <c r="R67" s="1768">
        <v>569.30000000000064</v>
      </c>
      <c r="S67" s="1977"/>
      <c r="T67" s="1768">
        <v>737.69999999999982</v>
      </c>
      <c r="U67" s="1977"/>
      <c r="V67" s="1768">
        <f t="shared" si="7"/>
        <v>703.5</v>
      </c>
      <c r="W67" s="1977"/>
      <c r="X67" s="1768"/>
      <c r="Y67" s="1977"/>
      <c r="Z67" s="1768"/>
      <c r="AA67" s="1978"/>
      <c r="AB67" s="1979"/>
      <c r="AC67" s="1980"/>
      <c r="AD67" s="1768">
        <v>6294.7</v>
      </c>
      <c r="AE67" s="1979"/>
      <c r="AF67" s="1981"/>
      <c r="AG67" s="1768">
        <v>2797</v>
      </c>
      <c r="AH67" s="1061"/>
      <c r="AI67" s="64"/>
      <c r="AJ67" s="883">
        <f t="shared" si="8"/>
        <v>3497.7</v>
      </c>
      <c r="AK67" s="883"/>
      <c r="AL67" s="1703">
        <f t="shared" si="9"/>
        <v>1.2509999999999999</v>
      </c>
    </row>
    <row r="68" spans="1:38" s="875" customFormat="1" ht="15" customHeight="1">
      <c r="A68" s="1058"/>
      <c r="B68" s="1792" t="s">
        <v>32</v>
      </c>
      <c r="C68" s="104"/>
      <c r="D68" s="673">
        <v>0.2</v>
      </c>
      <c r="E68" s="804"/>
      <c r="F68" s="673">
        <v>0</v>
      </c>
      <c r="G68" s="804"/>
      <c r="H68" s="673">
        <v>0.39999999999999997</v>
      </c>
      <c r="I68" s="804"/>
      <c r="J68" s="3823">
        <v>2.1999999999999997</v>
      </c>
      <c r="K68" s="1517"/>
      <c r="L68" s="3823">
        <v>3.1999999999999997</v>
      </c>
      <c r="M68" s="1517"/>
      <c r="N68" s="3823">
        <v>9.9999999999999645E-2</v>
      </c>
      <c r="O68" s="1517"/>
      <c r="P68" s="3823">
        <v>0.70000000000000018</v>
      </c>
      <c r="Q68" s="1977"/>
      <c r="R68" s="1768">
        <v>2.0000000000000022</v>
      </c>
      <c r="S68" s="1977"/>
      <c r="T68" s="1768">
        <v>0</v>
      </c>
      <c r="U68" s="1977"/>
      <c r="V68" s="1768">
        <f t="shared" si="7"/>
        <v>9.9999999999999645E-2</v>
      </c>
      <c r="W68" s="1977"/>
      <c r="X68" s="1768"/>
      <c r="Y68" s="1977"/>
      <c r="Z68" s="1768"/>
      <c r="AA68" s="1978"/>
      <c r="AB68" s="1979"/>
      <c r="AC68" s="1980"/>
      <c r="AD68" s="1769">
        <v>8.9</v>
      </c>
      <c r="AE68" s="1979"/>
      <c r="AF68" s="1981"/>
      <c r="AG68" s="1768">
        <v>6.8</v>
      </c>
      <c r="AH68" s="1061"/>
      <c r="AI68" s="64"/>
      <c r="AJ68" s="883">
        <f t="shared" si="8"/>
        <v>2.1</v>
      </c>
      <c r="AK68" s="883"/>
      <c r="AL68" s="1703">
        <f>ROUND(IF(AG68=0,1,AJ68/ABS(AG68)),3)</f>
        <v>0.309</v>
      </c>
    </row>
    <row r="69" spans="1:38" s="875" customFormat="1" ht="15" customHeight="1">
      <c r="A69" s="1058"/>
      <c r="B69" s="1792" t="s">
        <v>33</v>
      </c>
      <c r="C69" s="104"/>
      <c r="D69" s="673">
        <v>2.4</v>
      </c>
      <c r="E69" s="804"/>
      <c r="F69" s="673">
        <v>3.4999999999999996</v>
      </c>
      <c r="G69" s="804"/>
      <c r="H69" s="673">
        <v>4.0999999999999996</v>
      </c>
      <c r="I69" s="804"/>
      <c r="J69" s="3823">
        <v>3.4000000000000004</v>
      </c>
      <c r="K69" s="1517"/>
      <c r="L69" s="3823">
        <v>5.7000000000000028</v>
      </c>
      <c r="M69" s="1517"/>
      <c r="N69" s="3823">
        <v>5.6999999999999993</v>
      </c>
      <c r="O69" s="1517"/>
      <c r="P69" s="3823">
        <v>3.7999999999999989</v>
      </c>
      <c r="Q69" s="1977"/>
      <c r="R69" s="1768">
        <v>5.9</v>
      </c>
      <c r="S69" s="1977"/>
      <c r="T69" s="1768">
        <v>3.2999999999999972</v>
      </c>
      <c r="U69" s="1977"/>
      <c r="V69" s="1768">
        <f t="shared" si="7"/>
        <v>3.5</v>
      </c>
      <c r="W69" s="1977"/>
      <c r="X69" s="1768"/>
      <c r="Y69" s="1977"/>
      <c r="Z69" s="1768"/>
      <c r="AA69" s="1978"/>
      <c r="AB69" s="1979"/>
      <c r="AC69" s="1980"/>
      <c r="AD69" s="1768">
        <v>41.3</v>
      </c>
      <c r="AE69" s="1979"/>
      <c r="AF69" s="1981"/>
      <c r="AG69" s="1768">
        <v>51.9</v>
      </c>
      <c r="AH69" s="1061"/>
      <c r="AI69" s="64"/>
      <c r="AJ69" s="883">
        <f t="shared" si="8"/>
        <v>-10.6</v>
      </c>
      <c r="AK69" s="1012"/>
      <c r="AL69" s="1791">
        <f t="shared" si="9"/>
        <v>-0.20399999999999999</v>
      </c>
    </row>
    <row r="70" spans="1:38" ht="15" customHeight="1">
      <c r="A70" s="147"/>
      <c r="B70" s="26" t="s">
        <v>1090</v>
      </c>
      <c r="C70" s="28"/>
      <c r="D70" s="291">
        <f>ROUND(SUM(D60:D69),2)</f>
        <v>4442.1000000000004</v>
      </c>
      <c r="E70" s="204"/>
      <c r="F70" s="1084">
        <f>ROUND(SUM(F60:F69),2)</f>
        <v>5045.2</v>
      </c>
      <c r="G70" s="163"/>
      <c r="H70" s="291">
        <f>ROUND(SUM(H60:H69),2)</f>
        <v>6561.9</v>
      </c>
      <c r="I70" s="204"/>
      <c r="J70" s="291">
        <f>ROUND(SUM(J60:J69),2)</f>
        <v>5572</v>
      </c>
      <c r="K70" s="204"/>
      <c r="L70" s="291">
        <f>ROUND(SUM(L60:L69),2)</f>
        <v>6065.4</v>
      </c>
      <c r="M70" s="204"/>
      <c r="N70" s="291">
        <f>ROUND(SUM(N60:N69),2)</f>
        <v>6403.4</v>
      </c>
      <c r="O70" s="204"/>
      <c r="P70" s="1995">
        <f>ROUND(SUM(P60:P69),2)</f>
        <v>6350.4</v>
      </c>
      <c r="Q70" s="1989"/>
      <c r="R70" s="1995">
        <f>ROUND(SUM(R60:R69),2)</f>
        <v>5246.1</v>
      </c>
      <c r="S70" s="1989"/>
      <c r="T70" s="1995">
        <f>ROUND(SUM(T60:T69),2)</f>
        <v>7241.4</v>
      </c>
      <c r="U70" s="1989"/>
      <c r="V70" s="2149">
        <f>ROUND(SUM(V60:V69),2)</f>
        <v>5921.1</v>
      </c>
      <c r="W70" s="2029"/>
      <c r="X70" s="2149">
        <f>ROUND(SUM(X60:X69),2)</f>
        <v>0</v>
      </c>
      <c r="Y70" s="2029"/>
      <c r="Z70" s="2149">
        <f>ROUND(SUM(Z60:Z69),2)</f>
        <v>0</v>
      </c>
      <c r="AA70" s="1446"/>
      <c r="AB70" s="2150"/>
      <c r="AC70" s="2151"/>
      <c r="AD70" s="1996">
        <f>ROUND(SUM(AD60:AD69),1)</f>
        <v>58849</v>
      </c>
      <c r="AE70" s="1446"/>
      <c r="AF70" s="3098"/>
      <c r="AG70" s="1996">
        <f>ROUND(SUM(AG60:AG69),1)</f>
        <v>54494</v>
      </c>
      <c r="AH70" s="1796"/>
      <c r="AI70" s="112"/>
      <c r="AJ70" s="108">
        <f>ROUND(SUM(AD70-AG70),1)</f>
        <v>4355</v>
      </c>
      <c r="AK70" s="2152"/>
      <c r="AL70" s="2153">
        <f>ROUND(SUM((AD70-AG70)/ABS(AG70)),3)</f>
        <v>0.08</v>
      </c>
    </row>
    <row r="71" spans="1:38" s="875" customFormat="1" ht="15" customHeight="1">
      <c r="A71" s="1058"/>
      <c r="B71" s="104" t="s">
        <v>151</v>
      </c>
      <c r="C71" s="104"/>
      <c r="D71" s="804"/>
      <c r="E71" s="804"/>
      <c r="F71" s="883"/>
      <c r="G71" s="804"/>
      <c r="H71" s="1511"/>
      <c r="I71" s="804"/>
      <c r="J71" s="1511"/>
      <c r="K71" s="137"/>
      <c r="L71" s="1511"/>
      <c r="M71" s="137"/>
      <c r="N71" s="115"/>
      <c r="O71" s="137"/>
      <c r="P71" s="1974"/>
      <c r="Q71" s="1970"/>
      <c r="R71" s="1974"/>
      <c r="S71" s="1970"/>
      <c r="T71" s="1974"/>
      <c r="U71" s="1970"/>
      <c r="V71" s="1974"/>
      <c r="W71" s="1974"/>
      <c r="X71" s="1974"/>
      <c r="Y71" s="1974"/>
      <c r="Z71" s="1974"/>
      <c r="AA71" s="1974"/>
      <c r="AB71" s="1970"/>
      <c r="AC71" s="1975"/>
      <c r="AD71" s="1970"/>
      <c r="AE71" s="1997"/>
      <c r="AF71" s="3124"/>
      <c r="AG71" s="1970"/>
      <c r="AH71" s="1788"/>
      <c r="AI71" s="1077"/>
      <c r="AJ71" s="1789"/>
      <c r="AK71" s="1789"/>
      <c r="AL71" s="1790"/>
    </row>
    <row r="72" spans="1:38" s="875" customFormat="1" ht="15" customHeight="1">
      <c r="A72" s="1058"/>
      <c r="B72" s="104" t="s">
        <v>152</v>
      </c>
      <c r="C72" s="104"/>
      <c r="D72" s="673">
        <v>51</v>
      </c>
      <c r="E72" s="804"/>
      <c r="F72" s="673">
        <v>50.900000000000006</v>
      </c>
      <c r="G72" s="804"/>
      <c r="H72" s="673">
        <v>457.70000000000005</v>
      </c>
      <c r="I72" s="804"/>
      <c r="J72" s="3823">
        <v>64.100000000000023</v>
      </c>
      <c r="K72" s="1517"/>
      <c r="L72" s="3823">
        <v>52.5</v>
      </c>
      <c r="M72" s="1517"/>
      <c r="N72" s="3823">
        <v>70.699999999999932</v>
      </c>
      <c r="O72" s="1517"/>
      <c r="P72" s="3823">
        <v>54.700000000000045</v>
      </c>
      <c r="Q72" s="1977"/>
      <c r="R72" s="1768">
        <v>89.199999999999932</v>
      </c>
      <c r="S72" s="1977"/>
      <c r="T72" s="1768">
        <v>706.49999999999989</v>
      </c>
      <c r="U72" s="1977"/>
      <c r="V72" s="1768">
        <f t="shared" ref="V72:V74" si="10">$AD72-$D72-$F72-$H72-$J72-$L72-$N72-$P72-T72-R72</f>
        <v>63.600000000000023</v>
      </c>
      <c r="W72" s="1977"/>
      <c r="X72" s="1768"/>
      <c r="Y72" s="1977"/>
      <c r="Z72" s="1768"/>
      <c r="AA72" s="1978"/>
      <c r="AB72" s="1979"/>
      <c r="AC72" s="1980"/>
      <c r="AD72" s="1768">
        <v>1660.9</v>
      </c>
      <c r="AE72" s="1979"/>
      <c r="AF72" s="1981"/>
      <c r="AG72" s="1768">
        <v>2356.1</v>
      </c>
      <c r="AH72" s="1061"/>
      <c r="AI72" s="64"/>
      <c r="AJ72" s="883">
        <f>ROUND(SUM(+AD72-AG72),1)</f>
        <v>-695.2</v>
      </c>
      <c r="AK72" s="883"/>
      <c r="AL72" s="1703">
        <f>ROUND(IF(AG72=0,0,AJ72/ABS(AG72)),3)</f>
        <v>-0.29499999999999998</v>
      </c>
    </row>
    <row r="73" spans="1:38" s="875" customFormat="1" ht="15" customHeight="1">
      <c r="A73" s="1058"/>
      <c r="B73" s="104" t="s">
        <v>178</v>
      </c>
      <c r="C73" s="104"/>
      <c r="D73" s="673">
        <v>156.9</v>
      </c>
      <c r="E73" s="804"/>
      <c r="F73" s="673">
        <v>105.70000000000002</v>
      </c>
      <c r="G73" s="804"/>
      <c r="H73" s="673">
        <v>465.1</v>
      </c>
      <c r="I73" s="804"/>
      <c r="J73" s="3823">
        <v>151.09999999999991</v>
      </c>
      <c r="K73" s="1517"/>
      <c r="L73" s="3823">
        <v>215.10000000000014</v>
      </c>
      <c r="M73" s="1517"/>
      <c r="N73" s="3823">
        <v>204.99999999999989</v>
      </c>
      <c r="O73" s="1517"/>
      <c r="P73" s="3823">
        <v>236.5</v>
      </c>
      <c r="Q73" s="1977"/>
      <c r="R73" s="1768">
        <v>227.30000000000007</v>
      </c>
      <c r="S73" s="1977"/>
      <c r="T73" s="1768">
        <v>236.69999999999982</v>
      </c>
      <c r="U73" s="1977"/>
      <c r="V73" s="1768">
        <f t="shared" si="10"/>
        <v>170.69999999999982</v>
      </c>
      <c r="W73" s="1977"/>
      <c r="X73" s="1768"/>
      <c r="Y73" s="1977"/>
      <c r="Z73" s="1768"/>
      <c r="AA73" s="1978"/>
      <c r="AB73" s="1979"/>
      <c r="AC73" s="1980"/>
      <c r="AD73" s="1768">
        <v>2170.1</v>
      </c>
      <c r="AE73" s="1979"/>
      <c r="AF73" s="1981"/>
      <c r="AG73" s="1768">
        <v>2239.5</v>
      </c>
      <c r="AH73" s="1061"/>
      <c r="AI73" s="64"/>
      <c r="AJ73" s="883">
        <f>ROUND(SUM(+AD73-AG73),1)</f>
        <v>-69.400000000000006</v>
      </c>
      <c r="AK73" s="883"/>
      <c r="AL73" s="1703">
        <f>ROUND(IF(AG73=0,0,AJ73/ABS(AG73)),3)</f>
        <v>-3.1E-2</v>
      </c>
    </row>
    <row r="74" spans="1:38" s="875" customFormat="1" ht="15" customHeight="1">
      <c r="A74" s="1058"/>
      <c r="B74" s="104" t="s">
        <v>154</v>
      </c>
      <c r="C74" s="104"/>
      <c r="D74" s="673">
        <v>25.4</v>
      </c>
      <c r="E74" s="804"/>
      <c r="F74" s="673">
        <v>27</v>
      </c>
      <c r="G74" s="804"/>
      <c r="H74" s="673">
        <v>156.4</v>
      </c>
      <c r="I74" s="804"/>
      <c r="J74" s="3823">
        <v>108.6</v>
      </c>
      <c r="K74" s="1517"/>
      <c r="L74" s="3823">
        <v>40.100000000000023</v>
      </c>
      <c r="M74" s="1517"/>
      <c r="N74" s="3823">
        <v>31.100000000000023</v>
      </c>
      <c r="O74" s="1517"/>
      <c r="P74" s="3823">
        <v>27.299999999999955</v>
      </c>
      <c r="Q74" s="1977"/>
      <c r="R74" s="1768">
        <v>50.700000000000074</v>
      </c>
      <c r="S74" s="1977"/>
      <c r="T74" s="1768">
        <v>436.6</v>
      </c>
      <c r="U74" s="1977"/>
      <c r="V74" s="1768">
        <f t="shared" si="10"/>
        <v>36.499999999999972</v>
      </c>
      <c r="W74" s="1977"/>
      <c r="X74" s="1768"/>
      <c r="Y74" s="1977"/>
      <c r="Z74" s="1768"/>
      <c r="AA74" s="1978"/>
      <c r="AB74" s="1979"/>
      <c r="AC74" s="1980"/>
      <c r="AD74" s="1768">
        <v>939.7</v>
      </c>
      <c r="AE74" s="1979"/>
      <c r="AF74" s="1981"/>
      <c r="AG74" s="1768">
        <v>1268.8999999999999</v>
      </c>
      <c r="AH74" s="1061"/>
      <c r="AI74" s="64"/>
      <c r="AJ74" s="883">
        <f>ROUND(SUM(+AD74-AG74),1)</f>
        <v>-329.2</v>
      </c>
      <c r="AK74" s="883"/>
      <c r="AL74" s="1703">
        <f>ROUND(IF(AG74=0,0,AJ74/ABS(AG74)),3)</f>
        <v>-0.25900000000000001</v>
      </c>
    </row>
    <row r="75" spans="1:38" s="875" customFormat="1" ht="15" customHeight="1">
      <c r="A75" s="1058"/>
      <c r="B75" s="3063" t="s">
        <v>1278</v>
      </c>
      <c r="C75" s="104"/>
      <c r="D75" s="673"/>
      <c r="E75" s="804"/>
      <c r="F75" s="673" t="s">
        <v>14</v>
      </c>
      <c r="G75" s="804"/>
      <c r="H75" s="673" t="s">
        <v>14</v>
      </c>
      <c r="I75" s="804"/>
      <c r="J75" s="3823" t="s">
        <v>14</v>
      </c>
      <c r="K75" s="1517"/>
      <c r="L75" s="3823" t="s">
        <v>14</v>
      </c>
      <c r="M75" s="1517"/>
      <c r="N75" s="3823" t="s">
        <v>14</v>
      </c>
      <c r="O75" s="1517"/>
      <c r="P75" s="3823" t="s">
        <v>14</v>
      </c>
      <c r="Q75" s="1977"/>
      <c r="R75" s="1768" t="s">
        <v>14</v>
      </c>
      <c r="S75" s="1977"/>
      <c r="T75" s="1768" t="s">
        <v>14</v>
      </c>
      <c r="U75" s="1977"/>
      <c r="V75" s="1768"/>
      <c r="W75" s="1977"/>
      <c r="X75" s="1768"/>
      <c r="Y75" s="1977"/>
      <c r="Z75" s="1768"/>
      <c r="AA75" s="1978"/>
      <c r="AB75" s="1979"/>
      <c r="AC75" s="1980"/>
      <c r="AD75" s="1768"/>
      <c r="AE75" s="1979"/>
      <c r="AF75" s="1981"/>
      <c r="AG75" s="1768"/>
      <c r="AH75" s="1061"/>
      <c r="AI75" s="64"/>
      <c r="AJ75" s="883"/>
      <c r="AK75" s="883"/>
      <c r="AL75" s="1703"/>
    </row>
    <row r="76" spans="1:38" s="875" customFormat="1" ht="15" customHeight="1">
      <c r="A76" s="1058"/>
      <c r="B76" s="3063" t="s">
        <v>1371</v>
      </c>
      <c r="C76" s="104"/>
      <c r="D76" s="673">
        <v>0</v>
      </c>
      <c r="E76" s="804"/>
      <c r="F76" s="673">
        <v>0</v>
      </c>
      <c r="G76" s="804"/>
      <c r="H76" s="673">
        <v>42.3</v>
      </c>
      <c r="I76" s="804"/>
      <c r="J76" s="3823">
        <v>0</v>
      </c>
      <c r="K76" s="1517"/>
      <c r="L76" s="3823">
        <v>0</v>
      </c>
      <c r="M76" s="1517"/>
      <c r="N76" s="3823">
        <v>0</v>
      </c>
      <c r="O76" s="1517"/>
      <c r="P76" s="3823">
        <v>0</v>
      </c>
      <c r="Q76" s="1977"/>
      <c r="R76" s="1768">
        <v>0</v>
      </c>
      <c r="S76" s="1977"/>
      <c r="T76" s="1768">
        <v>0</v>
      </c>
      <c r="U76" s="1977"/>
      <c r="V76" s="1768">
        <f t="shared" ref="V76:V77" si="11">$AD76-$D76-$F76-$H76-$J76-$L76-$N76-$P76-T76-R76</f>
        <v>0</v>
      </c>
      <c r="W76" s="1977"/>
      <c r="X76" s="1768"/>
      <c r="Y76" s="1977"/>
      <c r="Z76" s="1768"/>
      <c r="AA76" s="1978"/>
      <c r="AB76" s="1979"/>
      <c r="AC76" s="1980"/>
      <c r="AD76" s="1768">
        <v>42.3</v>
      </c>
      <c r="AE76" s="1979"/>
      <c r="AF76" s="1981"/>
      <c r="AG76" s="1768">
        <v>102.2</v>
      </c>
      <c r="AH76" s="1061"/>
      <c r="AI76" s="64"/>
      <c r="AJ76" s="883">
        <f>ROUND(SUM(+AD76-AG76),1)</f>
        <v>-59.9</v>
      </c>
      <c r="AK76" s="883"/>
      <c r="AL76" s="1703">
        <f>ROUND(IF(AG76=0,1,AJ76/ABS(AG76)),3)</f>
        <v>-0.58599999999999997</v>
      </c>
    </row>
    <row r="77" spans="1:38" s="875" customFormat="1" ht="15" customHeight="1">
      <c r="A77" s="1058"/>
      <c r="B77" s="104" t="s">
        <v>179</v>
      </c>
      <c r="C77" s="104"/>
      <c r="D77" s="673">
        <v>0</v>
      </c>
      <c r="E77" s="804"/>
      <c r="F77" s="673">
        <v>0</v>
      </c>
      <c r="G77" s="804"/>
      <c r="H77" s="673">
        <v>0</v>
      </c>
      <c r="I77" s="804"/>
      <c r="J77" s="3823">
        <v>0</v>
      </c>
      <c r="K77" s="1517"/>
      <c r="L77" s="3823">
        <v>0</v>
      </c>
      <c r="M77" s="1517"/>
      <c r="N77" s="3823">
        <v>0</v>
      </c>
      <c r="O77" s="1517"/>
      <c r="P77" s="3823">
        <v>0</v>
      </c>
      <c r="Q77" s="1977"/>
      <c r="R77" s="1768">
        <v>0</v>
      </c>
      <c r="S77" s="1977"/>
      <c r="T77" s="1768">
        <v>0</v>
      </c>
      <c r="U77" s="1977"/>
      <c r="V77" s="1768">
        <f t="shared" si="11"/>
        <v>0</v>
      </c>
      <c r="W77" s="1977"/>
      <c r="X77" s="1768"/>
      <c r="Y77" s="1977"/>
      <c r="Z77" s="1768"/>
      <c r="AA77" s="1978"/>
      <c r="AB77" s="1979"/>
      <c r="AC77" s="1980"/>
      <c r="AD77" s="1768">
        <v>0</v>
      </c>
      <c r="AE77" s="1979"/>
      <c r="AF77" s="1981"/>
      <c r="AG77" s="1768">
        <v>2.2999999999999998</v>
      </c>
      <c r="AH77" s="1061"/>
      <c r="AI77" s="64"/>
      <c r="AJ77" s="883">
        <f>ROUND(SUM(+AD77-AG77),1)</f>
        <v>-2.2999999999999998</v>
      </c>
      <c r="AK77" s="1012"/>
      <c r="AL77" s="1791">
        <f>ROUND(IF(AG77=0,0,AJ77/ABS(AG77)),3)</f>
        <v>-1</v>
      </c>
    </row>
    <row r="78" spans="1:38" ht="15" customHeight="1">
      <c r="A78" s="147"/>
      <c r="B78" s="28"/>
      <c r="C78" s="28"/>
      <c r="D78" s="1819"/>
      <c r="E78" s="804"/>
      <c r="F78" s="1030"/>
      <c r="G78" s="804"/>
      <c r="H78" s="677"/>
      <c r="I78" s="804"/>
      <c r="J78" s="677"/>
      <c r="K78" s="162"/>
      <c r="L78" s="677"/>
      <c r="M78" s="162"/>
      <c r="N78" s="85"/>
      <c r="O78" s="162"/>
      <c r="P78" s="1984"/>
      <c r="Q78" s="1447"/>
      <c r="R78" s="1984"/>
      <c r="S78" s="1447"/>
      <c r="T78" s="1984"/>
      <c r="U78" s="1447"/>
      <c r="V78" s="2030"/>
      <c r="W78" s="1974"/>
      <c r="X78" s="2030"/>
      <c r="Y78" s="1974"/>
      <c r="Z78" s="2030"/>
      <c r="AA78" s="1956"/>
      <c r="AB78" s="1970"/>
      <c r="AC78" s="1975"/>
      <c r="AD78" s="2030"/>
      <c r="AE78" s="1956"/>
      <c r="AF78" s="1976"/>
      <c r="AG78" s="2030"/>
      <c r="AH78" s="1061"/>
      <c r="AI78" s="64"/>
      <c r="AJ78" s="1030"/>
      <c r="AK78" s="1789"/>
      <c r="AL78" s="1432"/>
    </row>
    <row r="79" spans="1:38" ht="15" customHeight="1">
      <c r="A79" s="147"/>
      <c r="B79" s="26" t="s">
        <v>155</v>
      </c>
      <c r="C79" s="28"/>
      <c r="D79" s="910">
        <f>ROUND(SUM(D70:D77),1)</f>
        <v>4675.3999999999996</v>
      </c>
      <c r="E79" s="204"/>
      <c r="F79" s="109">
        <f>ROUND(SUM(F70:F77),1)</f>
        <v>5228.8</v>
      </c>
      <c r="G79" s="204"/>
      <c r="H79" s="910">
        <f>ROUND(SUM(H70:H77),1)</f>
        <v>7683.4</v>
      </c>
      <c r="I79" s="204"/>
      <c r="J79" s="910">
        <f>ROUND(SUM(J70:J77),1)</f>
        <v>5895.8</v>
      </c>
      <c r="K79" s="204"/>
      <c r="L79" s="910">
        <f>ROUND(SUM(L70:L77),1)</f>
        <v>6373.1</v>
      </c>
      <c r="M79" s="204"/>
      <c r="N79" s="910">
        <f>ROUND(SUM(N70:N77),1)</f>
        <v>6710.2</v>
      </c>
      <c r="O79" s="204"/>
      <c r="P79" s="1445">
        <f>ROUND(SUM(P70:P77),1)</f>
        <v>6668.9</v>
      </c>
      <c r="Q79" s="1989"/>
      <c r="R79" s="1445">
        <f>ROUND(SUM(R70:R77),1)</f>
        <v>5613.3</v>
      </c>
      <c r="S79" s="1989"/>
      <c r="T79" s="1445">
        <f>ROUND(SUM(T70:T77),1)</f>
        <v>8621.2000000000007</v>
      </c>
      <c r="U79" s="1989"/>
      <c r="V79" s="2029">
        <f>ROUND(SUM(V70:V77),1)</f>
        <v>6191.9</v>
      </c>
      <c r="W79" s="2029"/>
      <c r="X79" s="2029">
        <f>ROUND(SUM(X70:X77),1)</f>
        <v>0</v>
      </c>
      <c r="Y79" s="2029"/>
      <c r="Z79" s="2029">
        <f>ROUND(SUM(Z70:Z77),1)</f>
        <v>0</v>
      </c>
      <c r="AA79" s="2029"/>
      <c r="AB79" s="2150"/>
      <c r="AC79" s="2151"/>
      <c r="AD79" s="2029">
        <f>ROUND(SUM(AD70:AD77),1)</f>
        <v>63662</v>
      </c>
      <c r="AE79" s="1446"/>
      <c r="AF79" s="3098"/>
      <c r="AG79" s="2029">
        <f>ROUND(SUM(AG70:AG77),1)</f>
        <v>60463</v>
      </c>
      <c r="AH79" s="1796"/>
      <c r="AI79" s="112"/>
      <c r="AJ79" s="117">
        <f>ROUND(SUM(AD79-AG79),1)</f>
        <v>3199</v>
      </c>
      <c r="AK79" s="2154"/>
      <c r="AL79" s="2155">
        <f>ROUND(SUM((AD79-AG79)/ABS(AG79)),3)</f>
        <v>5.2999999999999999E-2</v>
      </c>
    </row>
    <row r="80" spans="1:38" ht="15" customHeight="1">
      <c r="A80" s="147"/>
      <c r="B80" s="28"/>
      <c r="C80" s="28"/>
      <c r="D80" s="1819"/>
      <c r="E80" s="804"/>
      <c r="F80" s="1030"/>
      <c r="G80" s="804"/>
      <c r="H80" s="677"/>
      <c r="I80" s="804"/>
      <c r="J80" s="677"/>
      <c r="K80" s="162"/>
      <c r="L80" s="677"/>
      <c r="M80" s="162"/>
      <c r="N80" s="85"/>
      <c r="O80" s="162"/>
      <c r="P80" s="1984"/>
      <c r="Q80" s="1447"/>
      <c r="R80" s="1984"/>
      <c r="S80" s="1447"/>
      <c r="T80" s="1984"/>
      <c r="U80" s="1447"/>
      <c r="V80" s="2030"/>
      <c r="W80" s="1974"/>
      <c r="X80" s="2030"/>
      <c r="Y80" s="1974"/>
      <c r="Z80" s="2030"/>
      <c r="AA80" s="1956"/>
      <c r="AB80" s="1970"/>
      <c r="AC80" s="1975"/>
      <c r="AD80" s="2030"/>
      <c r="AE80" s="1956"/>
      <c r="AF80" s="1976"/>
      <c r="AG80" s="2030"/>
      <c r="AH80" s="1061"/>
      <c r="AI80" s="1075"/>
      <c r="AJ80" s="673"/>
      <c r="AK80" s="1789"/>
      <c r="AL80" s="1790"/>
    </row>
    <row r="81" spans="1:51" ht="15" customHeight="1">
      <c r="A81" s="147"/>
      <c r="B81" s="26" t="s">
        <v>156</v>
      </c>
      <c r="C81" s="28"/>
      <c r="D81" s="804"/>
      <c r="E81" s="804"/>
      <c r="F81" s="883"/>
      <c r="G81" s="804"/>
      <c r="H81" s="1511"/>
      <c r="I81" s="804"/>
      <c r="J81" s="1511"/>
      <c r="K81" s="162"/>
      <c r="L81" s="1511"/>
      <c r="M81" s="162"/>
      <c r="N81" s="63"/>
      <c r="O81" s="162"/>
      <c r="P81" s="1985"/>
      <c r="Q81" s="1447"/>
      <c r="R81" s="1985"/>
      <c r="S81" s="1447"/>
      <c r="T81" s="1985"/>
      <c r="U81" s="1447"/>
      <c r="V81" s="1974"/>
      <c r="W81" s="1974"/>
      <c r="X81" s="1974"/>
      <c r="Y81" s="1974"/>
      <c r="Z81" s="1974"/>
      <c r="AA81" s="1974"/>
      <c r="AB81" s="1970"/>
      <c r="AC81" s="1975"/>
      <c r="AD81" s="1956"/>
      <c r="AE81" s="3121"/>
      <c r="AF81" s="3125"/>
      <c r="AG81" s="1956"/>
      <c r="AH81" s="1061"/>
      <c r="AI81" s="2156"/>
      <c r="AJ81" s="673"/>
      <c r="AK81" s="1789"/>
      <c r="AL81" s="1790"/>
    </row>
    <row r="82" spans="1:51" ht="15" customHeight="1">
      <c r="A82" s="147"/>
      <c r="B82" s="26" t="s">
        <v>44</v>
      </c>
      <c r="C82" s="28"/>
      <c r="D82" s="910">
        <f>ROUND(SUM(D56-D79),1)</f>
        <v>2496.3000000000002</v>
      </c>
      <c r="E82" s="204"/>
      <c r="F82" s="910">
        <f>ROUND(SUM(F56-F79),1)</f>
        <v>13039.5</v>
      </c>
      <c r="G82" s="204"/>
      <c r="H82" s="910">
        <f>ROUND(SUM(H56-H79),1)</f>
        <v>-299.2</v>
      </c>
      <c r="I82" s="204"/>
      <c r="J82" s="910">
        <f>ROUND(SUM(J56-J79),1)</f>
        <v>-149.4</v>
      </c>
      <c r="K82" s="204"/>
      <c r="L82" s="910">
        <f>ROUND(SUM(L56-L79),1)</f>
        <v>-563.6</v>
      </c>
      <c r="M82" s="204"/>
      <c r="N82" s="910">
        <f>ROUND(SUM(N56-N79),1)</f>
        <v>696.3</v>
      </c>
      <c r="O82" s="204"/>
      <c r="P82" s="910">
        <f>ROUND(SUM(P56-P79),1)</f>
        <v>380.7</v>
      </c>
      <c r="Q82" s="1989"/>
      <c r="R82" s="1445">
        <f>ROUND(SUM(R56-R79),1)</f>
        <v>98.4</v>
      </c>
      <c r="S82" s="1989"/>
      <c r="T82" s="1445">
        <f>ROUND(SUM(T56-T79),1)</f>
        <v>1431.8</v>
      </c>
      <c r="U82" s="1989"/>
      <c r="V82" s="1445">
        <f>ROUND(SUM(V56-V79),1)</f>
        <v>-610.6</v>
      </c>
      <c r="W82" s="2029"/>
      <c r="X82" s="2029"/>
      <c r="Y82" s="2029"/>
      <c r="Z82" s="2029"/>
      <c r="AA82" s="2029"/>
      <c r="AB82" s="2150"/>
      <c r="AC82" s="2151"/>
      <c r="AD82" s="2029">
        <f>ROUND(SUM(AD56-AD79),1)</f>
        <v>16520.2</v>
      </c>
      <c r="AE82" s="1446"/>
      <c r="AF82" s="3098"/>
      <c r="AG82" s="2029">
        <f>ROUND(SUM(AG56-AG79),1)</f>
        <v>6053</v>
      </c>
      <c r="AH82" s="1796"/>
      <c r="AI82" s="112"/>
      <c r="AJ82" s="117">
        <f>ROUND(SUM(AD82-AG82),1)</f>
        <v>10467.200000000001</v>
      </c>
      <c r="AK82" s="2157"/>
      <c r="AL82" s="3494">
        <f>ROUND(SUM((AD82-AG82)/ABS(AG82)),3)</f>
        <v>1.7290000000000001</v>
      </c>
    </row>
    <row r="83" spans="1:51" ht="15" customHeight="1">
      <c r="A83" s="147"/>
      <c r="B83" s="28"/>
      <c r="C83" s="28"/>
      <c r="D83" s="1819"/>
      <c r="E83" s="804"/>
      <c r="F83" s="1030"/>
      <c r="G83" s="804"/>
      <c r="H83" s="677"/>
      <c r="I83" s="804"/>
      <c r="J83" s="677"/>
      <c r="K83" s="162"/>
      <c r="L83" s="677"/>
      <c r="M83" s="162"/>
      <c r="N83" s="85"/>
      <c r="O83" s="162"/>
      <c r="P83" s="1984"/>
      <c r="Q83" s="1447"/>
      <c r="R83" s="1984"/>
      <c r="S83" s="1447"/>
      <c r="T83" s="1984"/>
      <c r="U83" s="1447"/>
      <c r="V83" s="2030"/>
      <c r="W83" s="1974"/>
      <c r="X83" s="2030"/>
      <c r="Y83" s="1974"/>
      <c r="Z83" s="2030"/>
      <c r="AA83" s="1956"/>
      <c r="AB83" s="1970"/>
      <c r="AC83" s="1975"/>
      <c r="AD83" s="2030"/>
      <c r="AE83" s="1956"/>
      <c r="AF83" s="1976"/>
      <c r="AG83" s="2030"/>
      <c r="AH83" s="1061"/>
      <c r="AI83" s="64"/>
      <c r="AJ83" s="673"/>
      <c r="AK83" s="1789"/>
      <c r="AL83" s="1790"/>
    </row>
    <row r="84" spans="1:51" ht="15" customHeight="1">
      <c r="A84" s="147"/>
      <c r="B84" s="26" t="s">
        <v>45</v>
      </c>
      <c r="C84" s="28"/>
      <c r="D84" s="804"/>
      <c r="E84" s="804"/>
      <c r="F84" s="883"/>
      <c r="G84" s="804"/>
      <c r="H84" s="1511"/>
      <c r="I84" s="804"/>
      <c r="J84" s="1511"/>
      <c r="K84" s="162"/>
      <c r="L84" s="1511"/>
      <c r="M84" s="162"/>
      <c r="N84" s="63"/>
      <c r="O84" s="162"/>
      <c r="P84" s="1985"/>
      <c r="Q84" s="1447"/>
      <c r="R84" s="1985"/>
      <c r="S84" s="1447"/>
      <c r="T84" s="1985"/>
      <c r="U84" s="1447"/>
      <c r="V84" s="1974"/>
      <c r="W84" s="1974"/>
      <c r="X84" s="1974"/>
      <c r="Y84" s="1974"/>
      <c r="Z84" s="1974"/>
      <c r="AA84" s="1974"/>
      <c r="AB84" s="1970"/>
      <c r="AC84" s="1975"/>
      <c r="AD84" s="1974"/>
      <c r="AE84" s="1956"/>
      <c r="AF84" s="1976"/>
      <c r="AG84" s="1974"/>
      <c r="AH84" s="1061"/>
      <c r="AI84" s="64"/>
      <c r="AJ84" s="673"/>
      <c r="AK84" s="1789"/>
      <c r="AL84" s="1790"/>
    </row>
    <row r="85" spans="1:51" s="875" customFormat="1" ht="15" customHeight="1">
      <c r="A85" s="1058"/>
      <c r="B85" s="104" t="s">
        <v>180</v>
      </c>
      <c r="C85" s="104"/>
      <c r="D85" s="673">
        <v>0</v>
      </c>
      <c r="E85" s="804"/>
      <c r="F85" s="673">
        <v>0</v>
      </c>
      <c r="G85" s="804"/>
      <c r="H85" s="673">
        <v>0</v>
      </c>
      <c r="I85" s="804"/>
      <c r="J85" s="3823">
        <v>0</v>
      </c>
      <c r="K85" s="1517"/>
      <c r="L85" s="3823">
        <v>0</v>
      </c>
      <c r="M85" s="1517"/>
      <c r="N85" s="3823">
        <v>0</v>
      </c>
      <c r="O85" s="1517"/>
      <c r="P85" s="3823">
        <v>0</v>
      </c>
      <c r="Q85" s="1977"/>
      <c r="R85" s="1768">
        <v>0</v>
      </c>
      <c r="S85" s="1977"/>
      <c r="T85" s="1768">
        <v>0</v>
      </c>
      <c r="U85" s="1977"/>
      <c r="V85" s="1768">
        <f t="shared" ref="V85:V86" si="12">$AD85-$D85-$F85-$H85-$J85-$L85-$N85-$P85-T85-R85</f>
        <v>0</v>
      </c>
      <c r="W85" s="1977"/>
      <c r="X85" s="1768"/>
      <c r="Y85" s="1977"/>
      <c r="Z85" s="1768"/>
      <c r="AA85" s="1978"/>
      <c r="AB85" s="1979"/>
      <c r="AC85" s="1980"/>
      <c r="AD85" s="1768">
        <v>0</v>
      </c>
      <c r="AE85" s="1979"/>
      <c r="AF85" s="1981"/>
      <c r="AG85" s="1768">
        <v>0</v>
      </c>
      <c r="AH85" s="1061"/>
      <c r="AI85" s="64"/>
      <c r="AJ85" s="1520">
        <f>ROUND(SUM(+AD85-AG85),1)</f>
        <v>0</v>
      </c>
      <c r="AK85" s="1012"/>
      <c r="AL85" s="1703">
        <f>-ROUND(IF(AG85=0,0,AJ85/ABS(AG85)),3)</f>
        <v>0</v>
      </c>
    </row>
    <row r="86" spans="1:51" s="875" customFormat="1" ht="15" customHeight="1">
      <c r="A86" s="1058"/>
      <c r="B86" s="104" t="s">
        <v>181</v>
      </c>
      <c r="C86" s="104"/>
      <c r="D86" s="673">
        <v>-156.4</v>
      </c>
      <c r="E86" s="804"/>
      <c r="F86" s="673">
        <v>-132.29999999999998</v>
      </c>
      <c r="G86" s="804"/>
      <c r="H86" s="673">
        <v>-185.40000000000006</v>
      </c>
      <c r="I86" s="804"/>
      <c r="J86" s="3823">
        <v>-342.19999999999993</v>
      </c>
      <c r="K86" s="1517"/>
      <c r="L86" s="3823">
        <v>-76.300000000000068</v>
      </c>
      <c r="M86" s="1517"/>
      <c r="N86" s="3823">
        <v>-163.80000000000007</v>
      </c>
      <c r="O86" s="1517"/>
      <c r="P86" s="3823">
        <v>-160.79999999999984</v>
      </c>
      <c r="Q86" s="1977"/>
      <c r="R86" s="1768">
        <v>-86.200000000000045</v>
      </c>
      <c r="S86" s="1977"/>
      <c r="T86" s="1768">
        <v>-210</v>
      </c>
      <c r="U86" s="1977"/>
      <c r="V86" s="1768">
        <f t="shared" si="12"/>
        <v>-137.19999999999982</v>
      </c>
      <c r="W86" s="1977"/>
      <c r="X86" s="1768"/>
      <c r="Y86" s="1977"/>
      <c r="Z86" s="1768"/>
      <c r="AA86" s="1978"/>
      <c r="AB86" s="1979"/>
      <c r="AC86" s="1980"/>
      <c r="AD86" s="1768">
        <v>-1650.6</v>
      </c>
      <c r="AE86" s="1979"/>
      <c r="AF86" s="1981"/>
      <c r="AG86" s="3363">
        <v>-1975.1</v>
      </c>
      <c r="AH86" s="1061"/>
      <c r="AI86" s="64"/>
      <c r="AJ86" s="1012">
        <f>ROUND(SUM(+AD86-AG86)*-1,1)</f>
        <v>-324.5</v>
      </c>
      <c r="AK86" s="1012"/>
      <c r="AL86" s="1703">
        <f>ROUND(IF(AG86=0,0,AJ86/ABS(AG86)),3)</f>
        <v>-0.16400000000000001</v>
      </c>
    </row>
    <row r="87" spans="1:51" ht="15" customHeight="1">
      <c r="A87" s="147"/>
      <c r="B87" s="28"/>
      <c r="C87" s="28"/>
      <c r="D87" s="165"/>
      <c r="E87" s="162"/>
      <c r="F87" s="123"/>
      <c r="G87" s="162"/>
      <c r="H87" s="85"/>
      <c r="I87" s="162"/>
      <c r="J87" s="85"/>
      <c r="K87" s="162"/>
      <c r="L87" s="85"/>
      <c r="M87" s="162"/>
      <c r="N87" s="85"/>
      <c r="O87" s="162"/>
      <c r="P87" s="1984"/>
      <c r="Q87" s="1447"/>
      <c r="R87" s="1984"/>
      <c r="S87" s="1447"/>
      <c r="T87" s="1984"/>
      <c r="U87" s="1447"/>
      <c r="V87" s="2030"/>
      <c r="W87" s="1974"/>
      <c r="X87" s="2030"/>
      <c r="Y87" s="1974"/>
      <c r="Z87" s="2030"/>
      <c r="AA87" s="1956"/>
      <c r="AB87" s="1970"/>
      <c r="AC87" s="1975"/>
      <c r="AD87" s="2030"/>
      <c r="AE87" s="1956"/>
      <c r="AF87" s="1976"/>
      <c r="AG87" s="1956"/>
      <c r="AH87" s="1061"/>
      <c r="AI87" s="64"/>
      <c r="AJ87" s="2158"/>
      <c r="AK87" s="1789"/>
      <c r="AL87" s="2159"/>
    </row>
    <row r="88" spans="1:51" ht="15" customHeight="1">
      <c r="A88" s="147"/>
      <c r="B88" s="26" t="s">
        <v>1084</v>
      </c>
      <c r="C88" s="28"/>
      <c r="D88" s="59">
        <f>ROUND(SUM(D85:D87),1)</f>
        <v>-156.4</v>
      </c>
      <c r="E88" s="204"/>
      <c r="F88" s="109">
        <f>ROUND(SUM(F85:F87),1)</f>
        <v>-132.30000000000001</v>
      </c>
      <c r="G88" s="204"/>
      <c r="H88" s="59">
        <f>ROUND(SUM(H85:H87),1)</f>
        <v>-185.4</v>
      </c>
      <c r="I88" s="204"/>
      <c r="J88" s="59">
        <f>ROUND(SUM(J85:J87),1)</f>
        <v>-342.2</v>
      </c>
      <c r="K88" s="204"/>
      <c r="L88" s="910">
        <f>ROUND(SUM(L85:L87),1)</f>
        <v>-76.3</v>
      </c>
      <c r="M88" s="204"/>
      <c r="N88" s="59">
        <f>ROUND(SUM(N85:N87),1)</f>
        <v>-163.80000000000001</v>
      </c>
      <c r="O88" s="204"/>
      <c r="P88" s="1445">
        <f>ROUND(SUM(P85:P87),1)</f>
        <v>-160.80000000000001</v>
      </c>
      <c r="Q88" s="1989"/>
      <c r="R88" s="1445">
        <f>ROUND(SUM(R85:R87),1)</f>
        <v>-86.2</v>
      </c>
      <c r="S88" s="1989"/>
      <c r="T88" s="1445">
        <f>ROUND(SUM(T85:T87),1)</f>
        <v>-210</v>
      </c>
      <c r="U88" s="1989"/>
      <c r="V88" s="2029">
        <f>ROUND(SUM(V85:V87),1)</f>
        <v>-137.19999999999999</v>
      </c>
      <c r="W88" s="2029"/>
      <c r="X88" s="2029">
        <f>ROUND(SUM(X85:X87),1)</f>
        <v>0</v>
      </c>
      <c r="Y88" s="2029"/>
      <c r="Z88" s="2029">
        <f>ROUND(SUM(Z85:Z87),1)</f>
        <v>0</v>
      </c>
      <c r="AA88" s="2029"/>
      <c r="AB88" s="2150"/>
      <c r="AC88" s="2151"/>
      <c r="AD88" s="2029">
        <f>ROUND(SUM(AD85:AD87),1)</f>
        <v>-1650.6</v>
      </c>
      <c r="AE88" s="1446"/>
      <c r="AF88" s="3098"/>
      <c r="AG88" s="2029">
        <f>ROUND(SUM(AG85:AG86),1)</f>
        <v>-1975.1</v>
      </c>
      <c r="AH88" s="1796"/>
      <c r="AI88" s="112"/>
      <c r="AJ88" s="117">
        <f>-ROUND(SUM(AD88-AG88),1)</f>
        <v>-324.5</v>
      </c>
      <c r="AK88" s="2152"/>
      <c r="AL88" s="2155">
        <f>ROUND(SUM((AD88-AG88)/(AG88)),3)</f>
        <v>-0.16400000000000001</v>
      </c>
    </row>
    <row r="89" spans="1:51" ht="15" customHeight="1">
      <c r="A89" s="147"/>
      <c r="B89" s="28"/>
      <c r="C89" s="28"/>
      <c r="D89" s="165"/>
      <c r="E89" s="162"/>
      <c r="F89" s="3643"/>
      <c r="G89" s="162"/>
      <c r="H89" s="165"/>
      <c r="I89" s="162"/>
      <c r="J89" s="165"/>
      <c r="K89" s="162"/>
      <c r="L89" s="165"/>
      <c r="M89" s="162"/>
      <c r="N89" s="165"/>
      <c r="O89" s="162"/>
      <c r="P89" s="1451"/>
      <c r="Q89" s="1447"/>
      <c r="R89" s="1451"/>
      <c r="S89" s="1447"/>
      <c r="T89" s="1451"/>
      <c r="U89" s="1447"/>
      <c r="V89" s="2030"/>
      <c r="W89" s="1974"/>
      <c r="X89" s="2030"/>
      <c r="Y89" s="1974"/>
      <c r="Z89" s="2030"/>
      <c r="AA89" s="1956"/>
      <c r="AB89" s="1970"/>
      <c r="AC89" s="1975"/>
      <c r="AD89" s="2030"/>
      <c r="AE89" s="1956"/>
      <c r="AF89" s="1976"/>
      <c r="AG89" s="2030"/>
      <c r="AH89" s="1061"/>
      <c r="AI89" s="64"/>
      <c r="AJ89" s="673"/>
      <c r="AK89" s="1789"/>
      <c r="AL89" s="1790"/>
    </row>
    <row r="90" spans="1:51" ht="15" customHeight="1">
      <c r="A90" s="147"/>
      <c r="B90" s="26" t="s">
        <v>164</v>
      </c>
      <c r="C90" s="28"/>
      <c r="D90" s="162"/>
      <c r="E90" s="162"/>
      <c r="F90" s="137"/>
      <c r="G90" s="162"/>
      <c r="H90" s="162"/>
      <c r="I90" s="162"/>
      <c r="J90" s="162"/>
      <c r="K90" s="162"/>
      <c r="L90" s="162"/>
      <c r="M90" s="162"/>
      <c r="N90" s="162"/>
      <c r="O90" s="162"/>
      <c r="P90" s="1447"/>
      <c r="Q90" s="1447"/>
      <c r="R90" s="1447"/>
      <c r="S90" s="1447"/>
      <c r="T90" s="1447"/>
      <c r="U90" s="1447"/>
      <c r="V90" s="1970"/>
      <c r="W90" s="1970"/>
      <c r="X90" s="1970"/>
      <c r="Y90" s="1970"/>
      <c r="Z90" s="1970"/>
      <c r="AA90" s="1970"/>
      <c r="AB90" s="1970"/>
      <c r="AC90" s="1975"/>
      <c r="AD90" s="1970"/>
      <c r="AE90" s="1997"/>
      <c r="AF90" s="3124"/>
      <c r="AG90" s="1970"/>
      <c r="AH90" s="1788"/>
      <c r="AI90" s="1077"/>
      <c r="AJ90" s="1789"/>
      <c r="AK90" s="1789"/>
      <c r="AL90" s="1790"/>
    </row>
    <row r="91" spans="1:51" ht="15" customHeight="1">
      <c r="A91" s="147"/>
      <c r="B91" s="26" t="s">
        <v>165</v>
      </c>
      <c r="C91" s="28"/>
      <c r="D91" s="162"/>
      <c r="E91" s="162"/>
      <c r="F91" s="137"/>
      <c r="G91" s="162"/>
      <c r="H91" s="162"/>
      <c r="I91" s="162"/>
      <c r="J91" s="162"/>
      <c r="K91" s="162"/>
      <c r="L91" s="162"/>
      <c r="M91" s="162"/>
      <c r="N91" s="162"/>
      <c r="O91" s="162"/>
      <c r="P91" s="1447"/>
      <c r="Q91" s="1447"/>
      <c r="R91" s="1447"/>
      <c r="S91" s="1447"/>
      <c r="T91" s="1447"/>
      <c r="U91" s="1447"/>
      <c r="V91" s="1970"/>
      <c r="W91" s="1970"/>
      <c r="X91" s="1970"/>
      <c r="Y91" s="1970"/>
      <c r="Z91" s="1970"/>
      <c r="AA91" s="1970"/>
      <c r="AB91" s="1970"/>
      <c r="AC91" s="1975"/>
      <c r="AD91" s="1970"/>
      <c r="AE91" s="1997"/>
      <c r="AF91" s="3124"/>
      <c r="AG91" s="3408"/>
      <c r="AH91" s="1788"/>
      <c r="AI91" s="1077"/>
      <c r="AJ91" s="1789"/>
      <c r="AK91" s="1789"/>
      <c r="AL91" s="1790"/>
    </row>
    <row r="92" spans="1:51" ht="15" customHeight="1">
      <c r="A92" s="147"/>
      <c r="B92" s="26" t="s">
        <v>1085</v>
      </c>
      <c r="C92" s="28"/>
      <c r="D92" s="817">
        <f>ROUND(SUM(D82+D88),1)</f>
        <v>2339.9</v>
      </c>
      <c r="E92" s="162"/>
      <c r="F92" s="3644">
        <f>ROUND(SUM(F82+F88),1)</f>
        <v>12907.2</v>
      </c>
      <c r="G92" s="162"/>
      <c r="H92" s="817">
        <f>ROUND(SUM(H82+H88),1)</f>
        <v>-484.6</v>
      </c>
      <c r="I92" s="53"/>
      <c r="J92" s="817">
        <f>ROUND(SUM(J82+J88),1)</f>
        <v>-491.6</v>
      </c>
      <c r="K92" s="53"/>
      <c r="L92" s="817">
        <f>ROUND(SUM(L82+L88),1)</f>
        <v>-639.9</v>
      </c>
      <c r="M92" s="53"/>
      <c r="N92" s="817">
        <f>ROUND(SUM(N82+N88),1)</f>
        <v>532.5</v>
      </c>
      <c r="O92" s="53"/>
      <c r="P92" s="1999">
        <f>ROUND(SUM(P82+P88),1)</f>
        <v>219.9</v>
      </c>
      <c r="Q92" s="1986"/>
      <c r="R92" s="1999">
        <f>ROUND(SUM(R82+R88),1)</f>
        <v>12.2</v>
      </c>
      <c r="S92" s="1986"/>
      <c r="T92" s="1999">
        <f>ROUND(SUM(T82+T88),1)</f>
        <v>1221.8</v>
      </c>
      <c r="U92" s="1986"/>
      <c r="V92" s="1540">
        <f>ROUND(SUM(V82+V88),1)</f>
        <v>-747.8</v>
      </c>
      <c r="W92" s="1956"/>
      <c r="X92" s="1540">
        <f>ROUND(SUM(X82+X88),1)</f>
        <v>0</v>
      </c>
      <c r="Y92" s="1956"/>
      <c r="Z92" s="1540">
        <f>ROUND(SUM(Z82+Z88),1)</f>
        <v>0</v>
      </c>
      <c r="AA92" s="1956"/>
      <c r="AB92" s="2160"/>
      <c r="AC92" s="1956"/>
      <c r="AD92" s="1540">
        <f>ROUND(SUM(AD82+AD88),1)</f>
        <v>14869.6</v>
      </c>
      <c r="AE92" s="3122"/>
      <c r="AF92" s="1956"/>
      <c r="AG92" s="1540">
        <f>ROUND(SUM(AG82+AG88),1)</f>
        <v>4077.9</v>
      </c>
      <c r="AH92" s="1788"/>
      <c r="AI92" s="64"/>
      <c r="AJ92" s="1095">
        <f>ROUND(SUM(AJ82-AJ88),1)</f>
        <v>10791.7</v>
      </c>
      <c r="AK92" s="1019"/>
      <c r="AL92" s="2161">
        <f>ROUND(SUM((AD92-AG92)/ABS(AG92)),3)</f>
        <v>2.6459999999999999</v>
      </c>
    </row>
    <row r="93" spans="1:51" ht="15" customHeight="1">
      <c r="A93" s="147"/>
      <c r="B93" s="28"/>
      <c r="C93" s="28"/>
      <c r="D93" s="34"/>
      <c r="E93" s="27"/>
      <c r="F93" s="1077"/>
      <c r="G93" s="27"/>
      <c r="H93" s="34"/>
      <c r="I93" s="27"/>
      <c r="J93" s="34"/>
      <c r="K93" s="27"/>
      <c r="L93" s="34"/>
      <c r="M93" s="27"/>
      <c r="N93" s="34"/>
      <c r="O93" s="27"/>
      <c r="P93" s="2000"/>
      <c r="Q93" s="2001"/>
      <c r="R93" s="2000"/>
      <c r="S93" s="2001"/>
      <c r="T93" s="1998"/>
      <c r="U93" s="2001"/>
      <c r="V93" s="2162"/>
      <c r="W93" s="2163"/>
      <c r="X93" s="2162"/>
      <c r="Y93" s="2163"/>
      <c r="Z93" s="2162"/>
      <c r="AA93" s="2162"/>
      <c r="AB93" s="2163"/>
      <c r="AC93" s="2164"/>
      <c r="AD93" s="2162"/>
      <c r="AE93" s="2162"/>
      <c r="AF93" s="2164"/>
      <c r="AG93" s="2162"/>
      <c r="AH93" s="1077"/>
      <c r="AI93" s="2165"/>
      <c r="AJ93" s="2166"/>
      <c r="AK93" s="1789"/>
      <c r="AL93" s="1790" t="s">
        <v>14</v>
      </c>
    </row>
    <row r="94" spans="1:51" ht="20.25" customHeight="1" thickBot="1">
      <c r="A94" s="147"/>
      <c r="B94" s="26" t="s">
        <v>1095</v>
      </c>
      <c r="C94" s="28"/>
      <c r="D94" s="1839">
        <f>ROUND(SUM(+D13+D92),1)</f>
        <v>7300.6</v>
      </c>
      <c r="E94" s="27"/>
      <c r="F94" s="1829">
        <f>ROUND(SUM(+F13+F92),1)</f>
        <v>20207.8</v>
      </c>
      <c r="G94" s="27"/>
      <c r="H94" s="1839">
        <f>ROUND(SUM(+H13+H92),1)</f>
        <v>19723.2</v>
      </c>
      <c r="I94" s="27"/>
      <c r="J94" s="1839">
        <f>ROUND(SUM(+J13+J92),1)</f>
        <v>19231.599999999999</v>
      </c>
      <c r="K94" s="27"/>
      <c r="L94" s="1839">
        <f>ROUND(SUM(+L13+L92),1)</f>
        <v>18591.7</v>
      </c>
      <c r="M94" s="27"/>
      <c r="N94" s="1839">
        <f>ROUND(SUM(+N13+N92),1)</f>
        <v>19124.2</v>
      </c>
      <c r="O94" s="27"/>
      <c r="P94" s="2002">
        <f>ROUND(SUM(+P13+P92),1)</f>
        <v>19344.099999999999</v>
      </c>
      <c r="Q94" s="2001"/>
      <c r="R94" s="2002">
        <f>ROUND(SUM(+R13+R92),1)</f>
        <v>19356.3</v>
      </c>
      <c r="S94" s="2001"/>
      <c r="T94" s="2002">
        <f>ROUND(SUM(+T13+T92),1)</f>
        <v>20578.099999999999</v>
      </c>
      <c r="U94" s="2001"/>
      <c r="V94" s="2167">
        <f>ROUND(SUM(+V13+V92),1)</f>
        <v>19830.3</v>
      </c>
      <c r="W94" s="2163"/>
      <c r="X94" s="2167">
        <f>ROUND(SUM(+X13+X92),1)</f>
        <v>0</v>
      </c>
      <c r="Y94" s="2163"/>
      <c r="Z94" s="2167">
        <f>ROUND(SUM(+Z13+Z92),1)</f>
        <v>0</v>
      </c>
      <c r="AA94" s="2162"/>
      <c r="AB94" s="2163"/>
      <c r="AC94" s="2164"/>
      <c r="AD94" s="2167">
        <f>ROUND(SUM(+AD13+AD92),1)</f>
        <v>19830.3</v>
      </c>
      <c r="AE94" s="2162"/>
      <c r="AF94" s="2164"/>
      <c r="AG94" s="2167">
        <f>ROUND(SUM(+AG13+AG92),1)</f>
        <v>4989.3</v>
      </c>
      <c r="AH94" s="1077"/>
      <c r="AI94" s="2165"/>
      <c r="AJ94" s="1829">
        <f>ROUND(SUM(+AJ13+AJ92),1)</f>
        <v>14841</v>
      </c>
      <c r="AK94" s="1789"/>
      <c r="AL94" s="2168">
        <f>ROUND(+AJ94/ABS(AG94),3)</f>
        <v>2.9750000000000001</v>
      </c>
    </row>
    <row r="95" spans="1:51" ht="15" customHeight="1" thickTop="1">
      <c r="B95" s="27"/>
      <c r="C95" s="27"/>
      <c r="D95" s="265"/>
      <c r="E95" s="265"/>
      <c r="F95" s="2100"/>
      <c r="G95" s="265"/>
      <c r="H95" s="265"/>
      <c r="I95" s="265"/>
      <c r="J95" s="265"/>
      <c r="K95" s="265"/>
      <c r="L95" s="265"/>
      <c r="M95" s="265"/>
      <c r="N95" s="265"/>
      <c r="O95" s="265"/>
      <c r="P95" s="2003"/>
      <c r="Q95" s="2003"/>
      <c r="R95" s="2003"/>
      <c r="S95" s="2003"/>
      <c r="T95" s="2003"/>
      <c r="U95" s="2003"/>
      <c r="V95" s="2169"/>
      <c r="W95" s="2169"/>
      <c r="X95" s="2169"/>
      <c r="Y95" s="2169"/>
      <c r="Z95" s="2169"/>
      <c r="AA95" s="2169"/>
      <c r="AB95" s="2169"/>
      <c r="AC95" s="2169"/>
      <c r="AD95" s="2169"/>
      <c r="AE95" s="2169"/>
      <c r="AF95" s="2169"/>
      <c r="AG95" s="2169"/>
      <c r="AH95" s="2100"/>
      <c r="AI95" s="2100"/>
      <c r="AJ95" s="1009"/>
      <c r="AK95" s="1009"/>
      <c r="AL95" s="1797"/>
      <c r="AM95" s="292"/>
      <c r="AN95" s="292"/>
      <c r="AO95" s="292"/>
      <c r="AP95" s="292"/>
      <c r="AQ95" s="292"/>
      <c r="AR95" s="292"/>
      <c r="AS95" s="292"/>
      <c r="AT95" s="292"/>
      <c r="AU95" s="292"/>
      <c r="AV95" s="292"/>
      <c r="AW95" s="292"/>
      <c r="AX95" s="292"/>
      <c r="AY95" s="292"/>
    </row>
    <row r="96" spans="1:51" ht="15" customHeight="1">
      <c r="B96" s="908"/>
      <c r="C96" s="27"/>
      <c r="D96" s="27"/>
      <c r="E96" s="27"/>
      <c r="F96" s="27"/>
      <c r="G96" s="27"/>
      <c r="H96" s="27"/>
      <c r="I96" s="27"/>
      <c r="J96" s="27"/>
      <c r="K96" s="27"/>
      <c r="L96" s="27"/>
      <c r="M96" s="27"/>
      <c r="N96" s="27"/>
      <c r="O96" s="27"/>
      <c r="P96" s="2001"/>
      <c r="Q96" s="2001"/>
      <c r="R96" s="2001"/>
      <c r="S96" s="2001"/>
      <c r="T96" s="2001"/>
      <c r="U96" s="2001"/>
      <c r="V96" s="2163"/>
      <c r="W96" s="2163"/>
      <c r="X96" s="2163"/>
      <c r="Y96" s="2163"/>
      <c r="Z96" s="2163"/>
      <c r="AA96" s="2163"/>
      <c r="AB96" s="2163"/>
      <c r="AC96" s="2163"/>
      <c r="AD96" s="2163"/>
      <c r="AE96" s="2163"/>
      <c r="AF96" s="2163"/>
      <c r="AG96" s="2163"/>
      <c r="AH96" s="103"/>
      <c r="AI96" s="103"/>
      <c r="AJ96" s="876"/>
      <c r="AK96" s="876"/>
      <c r="AL96" s="1797"/>
    </row>
    <row r="97" spans="2:38" ht="15" customHeight="1">
      <c r="B97" s="27"/>
      <c r="P97" s="2004"/>
      <c r="Q97" s="2004"/>
      <c r="R97" s="2004"/>
      <c r="S97" s="2004"/>
      <c r="T97" s="2004"/>
      <c r="U97" s="2004"/>
      <c r="V97" s="2170"/>
      <c r="W97" s="2170"/>
      <c r="X97" s="2170"/>
      <c r="Y97" s="2170"/>
      <c r="Z97" s="2170"/>
      <c r="AA97" s="2170"/>
      <c r="AB97" s="2170"/>
      <c r="AC97" s="2170"/>
      <c r="AD97" s="2170"/>
      <c r="AE97" s="2170"/>
      <c r="AF97" s="2170"/>
      <c r="AG97" s="2170"/>
      <c r="AH97" s="875"/>
      <c r="AI97" s="875"/>
      <c r="AJ97" s="875"/>
      <c r="AK97" s="875"/>
      <c r="AL97" s="2171"/>
    </row>
    <row r="98" spans="2:38" ht="15" customHeight="1">
      <c r="B98" s="27"/>
      <c r="P98" s="2004"/>
      <c r="Q98" s="2004"/>
      <c r="R98" s="2004"/>
      <c r="S98" s="2004"/>
      <c r="T98" s="2004"/>
      <c r="U98" s="2004"/>
      <c r="V98" s="2170"/>
      <c r="W98" s="2170"/>
      <c r="X98" s="2170"/>
      <c r="Y98" s="2170"/>
      <c r="Z98" s="2170"/>
      <c r="AA98" s="2170"/>
      <c r="AB98" s="2170"/>
      <c r="AC98" s="2170"/>
      <c r="AD98" s="2170"/>
      <c r="AE98" s="2170"/>
      <c r="AF98" s="2170"/>
      <c r="AG98" s="2170"/>
      <c r="AH98" s="875"/>
      <c r="AI98" s="875"/>
      <c r="AJ98" s="875"/>
      <c r="AK98" s="875"/>
      <c r="AL98" s="2171"/>
    </row>
    <row r="99" spans="2:38" ht="15" customHeight="1">
      <c r="P99" s="2004"/>
      <c r="Q99" s="2004"/>
      <c r="R99" s="2004"/>
      <c r="S99" s="2004"/>
      <c r="T99" s="2004"/>
      <c r="U99" s="2004"/>
      <c r="V99" s="2170"/>
      <c r="W99" s="2170"/>
      <c r="X99" s="2170"/>
      <c r="Y99" s="2170"/>
      <c r="Z99" s="2170"/>
      <c r="AA99" s="2170"/>
      <c r="AB99" s="2170"/>
      <c r="AC99" s="2170"/>
      <c r="AD99" s="2170"/>
      <c r="AE99" s="2170"/>
      <c r="AF99" s="2170"/>
      <c r="AG99" s="2170"/>
      <c r="AH99" s="875"/>
      <c r="AI99" s="875"/>
      <c r="AJ99" s="875"/>
      <c r="AK99" s="875"/>
      <c r="AL99" s="2171"/>
    </row>
    <row r="100" spans="2:38" ht="15" customHeight="1">
      <c r="P100" s="2004"/>
      <c r="Q100" s="2004"/>
      <c r="R100" s="2004"/>
      <c r="S100" s="2004"/>
      <c r="T100" s="2004"/>
      <c r="U100" s="2004"/>
      <c r="V100" s="2170"/>
      <c r="W100" s="2170"/>
      <c r="X100" s="2170"/>
      <c r="Y100" s="2170"/>
      <c r="Z100" s="2170"/>
      <c r="AA100" s="2170"/>
      <c r="AB100" s="2170"/>
      <c r="AC100" s="2170"/>
      <c r="AD100" s="2170"/>
      <c r="AE100" s="2170"/>
      <c r="AF100" s="2170"/>
      <c r="AG100" s="2170"/>
      <c r="AH100" s="875"/>
      <c r="AI100" s="875"/>
      <c r="AJ100" s="875"/>
      <c r="AK100" s="875"/>
      <c r="AL100" s="2171"/>
    </row>
    <row r="101" spans="2:38" ht="15" customHeight="1">
      <c r="P101" s="2004"/>
      <c r="Q101" s="2004"/>
      <c r="R101" s="2004"/>
      <c r="S101" s="2004"/>
      <c r="T101" s="2004"/>
      <c r="U101" s="2004"/>
      <c r="V101" s="2170"/>
      <c r="W101" s="2170"/>
      <c r="X101" s="2170"/>
      <c r="Y101" s="2170"/>
      <c r="Z101" s="2170"/>
      <c r="AA101" s="2170"/>
      <c r="AB101" s="2170"/>
      <c r="AC101" s="2170"/>
      <c r="AD101" s="2170"/>
      <c r="AE101" s="2170"/>
      <c r="AF101" s="2170"/>
      <c r="AG101" s="2170"/>
      <c r="AH101" s="875"/>
      <c r="AI101" s="875"/>
      <c r="AJ101" s="875"/>
      <c r="AK101" s="875"/>
      <c r="AL101" s="2171"/>
    </row>
    <row r="102" spans="2:38" ht="15" customHeight="1">
      <c r="V102" s="875"/>
      <c r="W102" s="875"/>
      <c r="X102" s="875"/>
      <c r="Y102" s="875"/>
      <c r="Z102" s="875"/>
      <c r="AA102" s="875"/>
      <c r="AB102" s="875"/>
      <c r="AC102" s="875"/>
      <c r="AH102" s="875"/>
      <c r="AI102" s="875"/>
      <c r="AJ102" s="875"/>
      <c r="AK102" s="875"/>
      <c r="AL102" s="2171"/>
    </row>
    <row r="103" spans="2:38" ht="15" customHeight="1">
      <c r="V103" s="875"/>
      <c r="W103" s="875"/>
      <c r="X103" s="875"/>
      <c r="Y103" s="875"/>
      <c r="Z103" s="875"/>
      <c r="AA103" s="875"/>
      <c r="AB103" s="875"/>
      <c r="AC103" s="875"/>
      <c r="AH103" s="875"/>
      <c r="AI103" s="875"/>
      <c r="AJ103" s="875"/>
      <c r="AK103" s="875"/>
      <c r="AL103" s="2171"/>
    </row>
    <row r="104" spans="2:38" ht="15" customHeight="1">
      <c r="V104" s="875"/>
      <c r="W104" s="875"/>
      <c r="X104" s="875"/>
      <c r="Y104" s="875"/>
      <c r="Z104" s="875"/>
      <c r="AA104" s="875"/>
      <c r="AB104" s="875"/>
      <c r="AC104" s="875"/>
      <c r="AH104" s="875"/>
      <c r="AI104" s="875"/>
      <c r="AJ104" s="875"/>
      <c r="AK104" s="875"/>
      <c r="AL104" s="2171"/>
    </row>
    <row r="105" spans="2:38" ht="15" customHeight="1">
      <c r="V105" s="875"/>
      <c r="W105" s="875"/>
      <c r="X105" s="875"/>
      <c r="Y105" s="875"/>
      <c r="Z105" s="875"/>
      <c r="AA105" s="875"/>
      <c r="AB105" s="875"/>
      <c r="AC105" s="875"/>
      <c r="AH105" s="875"/>
      <c r="AI105" s="875"/>
      <c r="AJ105" s="875"/>
      <c r="AK105" s="875"/>
      <c r="AL105" s="2171"/>
    </row>
    <row r="106" spans="2:38" ht="15" customHeight="1">
      <c r="V106" s="875"/>
      <c r="W106" s="875"/>
      <c r="X106" s="875"/>
      <c r="Y106" s="875"/>
      <c r="Z106" s="875"/>
      <c r="AA106" s="875"/>
      <c r="AB106" s="875"/>
      <c r="AC106" s="875"/>
      <c r="AH106" s="875"/>
      <c r="AI106" s="875"/>
      <c r="AJ106" s="875"/>
      <c r="AK106" s="875"/>
      <c r="AL106" s="2171"/>
    </row>
    <row r="107" spans="2:38" ht="15" customHeight="1">
      <c r="AL107" s="1433"/>
    </row>
    <row r="108" spans="2:38" ht="15" customHeight="1">
      <c r="AL108" s="1433"/>
    </row>
    <row r="109" spans="2:38" ht="15" customHeight="1">
      <c r="AL109" s="1433"/>
    </row>
    <row r="110" spans="2:38" ht="15" customHeight="1">
      <c r="AL110" s="1433"/>
    </row>
    <row r="111" spans="2:38" ht="15" customHeight="1">
      <c r="AL111" s="1433"/>
    </row>
    <row r="112" spans="2:38" ht="15" customHeight="1">
      <c r="AL112" s="1433"/>
    </row>
    <row r="113" spans="38:38" ht="15" customHeight="1">
      <c r="AL113" s="1433"/>
    </row>
    <row r="114" spans="38:38" ht="15" customHeight="1">
      <c r="AL114" s="1433"/>
    </row>
    <row r="115" spans="38:38" ht="15" customHeight="1">
      <c r="AL115" s="1433"/>
    </row>
    <row r="116" spans="38:38" ht="15" customHeight="1">
      <c r="AL116" s="1433"/>
    </row>
    <row r="117" spans="38:38" ht="15" customHeight="1">
      <c r="AL117" s="1433"/>
    </row>
    <row r="118" spans="38:38" ht="15" customHeight="1">
      <c r="AL118" s="1433"/>
    </row>
    <row r="119" spans="38:38" ht="15" customHeight="1">
      <c r="AL119" s="1433"/>
    </row>
    <row r="120" spans="38:38" ht="15" customHeight="1">
      <c r="AL120" s="1433"/>
    </row>
    <row r="121" spans="38:38" ht="15" customHeight="1">
      <c r="AL121" s="1433"/>
    </row>
    <row r="122" spans="38:38" ht="15" customHeight="1">
      <c r="AL122" s="1433"/>
    </row>
    <row r="123" spans="38:38" ht="15" customHeight="1">
      <c r="AL123" s="1433"/>
    </row>
    <row r="124" spans="38:38" ht="15" customHeight="1">
      <c r="AL124" s="1433"/>
    </row>
    <row r="125" spans="38:38" ht="15" customHeight="1">
      <c r="AL125" s="1433"/>
    </row>
    <row r="126" spans="38:38" ht="15" customHeight="1">
      <c r="AL126" s="1433"/>
    </row>
    <row r="127" spans="38:38" ht="15" customHeight="1">
      <c r="AL127" s="1433"/>
    </row>
    <row r="128" spans="38:38" ht="15" customHeight="1">
      <c r="AL128" s="1433"/>
    </row>
    <row r="129" spans="38:38" ht="15" customHeight="1">
      <c r="AL129" s="1433"/>
    </row>
    <row r="130" spans="38:38" ht="15" customHeight="1">
      <c r="AL130" s="1433"/>
    </row>
    <row r="131" spans="38:38" ht="15" customHeight="1">
      <c r="AL131" s="1433"/>
    </row>
    <row r="132" spans="38:38" ht="15" customHeight="1">
      <c r="AL132" s="1433"/>
    </row>
    <row r="133" spans="38:38" ht="15" customHeight="1">
      <c r="AL133" s="1433"/>
    </row>
    <row r="134" spans="38:38" ht="15" customHeight="1">
      <c r="AL134" s="1433"/>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98" workbookViewId="0"/>
  </sheetViews>
  <sheetFormatPr defaultRowHeight="13.2"/>
  <cols>
    <col min="1" max="1" width="40.453125" style="2600" customWidth="1"/>
    <col min="2" max="2" width="10.453125" style="2600" customWidth="1"/>
    <col min="3" max="3" width="1.08984375" style="2600" customWidth="1"/>
    <col min="4" max="4" width="10" style="2600" customWidth="1"/>
    <col min="5" max="5" width="1.08984375" style="2600" customWidth="1"/>
    <col min="6" max="6" width="9.08984375" style="2601" customWidth="1"/>
    <col min="7" max="7" width="1.08984375" style="2600" customWidth="1"/>
    <col min="8" max="8" width="10" style="2600" customWidth="1"/>
    <col min="9" max="9" width="1.08984375" style="2600" customWidth="1"/>
    <col min="10" max="10" width="10" style="2600" bestFit="1" customWidth="1"/>
    <col min="11" max="11" width="1.08984375" style="2600" customWidth="1"/>
    <col min="12" max="12" width="11.08984375" style="2600" customWidth="1"/>
    <col min="13" max="13" width="1.08984375" style="2600" customWidth="1"/>
    <col min="14" max="14" width="10.81640625" style="2600" customWidth="1"/>
    <col min="15" max="15" width="1.81640625" style="2600" customWidth="1"/>
    <col min="16" max="16" width="11" style="2600" customWidth="1"/>
    <col min="17" max="17" width="1.08984375" style="2600" customWidth="1"/>
    <col min="18" max="18" width="10.81640625" style="2600" customWidth="1"/>
    <col min="19" max="19" width="1.08984375" style="2600" customWidth="1"/>
    <col min="20" max="20" width="10" style="2600" customWidth="1"/>
    <col min="21" max="21" width="1.08984375" style="2600" customWidth="1"/>
    <col min="22" max="22" width="12.81640625" style="2600" customWidth="1"/>
    <col min="23" max="23" width="1.08984375" style="2600" customWidth="1"/>
    <col min="24" max="24" width="11.08984375" style="2600" bestFit="1" customWidth="1"/>
    <col min="25" max="25" width="1.08984375" style="2600" customWidth="1"/>
    <col min="26" max="26" width="0.81640625" style="2600" customWidth="1"/>
    <col min="27" max="27" width="10.54296875" style="2600" customWidth="1"/>
    <col min="28" max="28" width="2.08984375" style="2600" customWidth="1"/>
    <col min="29" max="29" width="0.81640625" style="2600" customWidth="1"/>
    <col min="30" max="30" width="11" style="2600" bestFit="1" customWidth="1"/>
    <col min="31" max="32" width="0.81640625" style="2600" customWidth="1"/>
    <col min="33" max="33" width="10.7265625" style="2600" bestFit="1" customWidth="1"/>
    <col min="34" max="34" width="1.08984375" style="2600" customWidth="1"/>
    <col min="35" max="35" width="11" style="2600" customWidth="1"/>
    <col min="36" max="36" width="14.54296875" style="2602" customWidth="1"/>
    <col min="37" max="252" width="8.81640625" style="2600"/>
    <col min="253" max="253" width="38.453125" style="2600" customWidth="1"/>
    <col min="254" max="254" width="8.54296875" style="2600" customWidth="1"/>
    <col min="255" max="255" width="1.08984375" style="2600" customWidth="1"/>
    <col min="256" max="256" width="8.81640625" style="2600" customWidth="1"/>
    <col min="257" max="257" width="1.08984375" style="2600" customWidth="1"/>
    <col min="258" max="258" width="9.08984375" style="2600" customWidth="1"/>
    <col min="259" max="259" width="1.08984375" style="2600" customWidth="1"/>
    <col min="260" max="260" width="10" style="2600" customWidth="1"/>
    <col min="261" max="261" width="1.08984375" style="2600" customWidth="1"/>
    <col min="262" max="262" width="9.08984375" style="2600" customWidth="1"/>
    <col min="263" max="263" width="1.08984375" style="2600" customWidth="1"/>
    <col min="264" max="264" width="11.08984375" style="2600" customWidth="1"/>
    <col min="265" max="265" width="1.08984375" style="2600" customWidth="1"/>
    <col min="266" max="266" width="9.08984375" style="2600" customWidth="1"/>
    <col min="267" max="267" width="1.81640625" style="2600" customWidth="1"/>
    <col min="268" max="268" width="11" style="2600" customWidth="1"/>
    <col min="269" max="269" width="1.08984375" style="2600" customWidth="1"/>
    <col min="270" max="270" width="10.81640625" style="2600" customWidth="1"/>
    <col min="271" max="271" width="1.08984375" style="2600" customWidth="1"/>
    <col min="272" max="272" width="10" style="2600" customWidth="1"/>
    <col min="273" max="273" width="1.08984375" style="2600" customWidth="1"/>
    <col min="274" max="274" width="9.08984375" style="2600" customWidth="1"/>
    <col min="275" max="275" width="1.08984375" style="2600" customWidth="1"/>
    <col min="276" max="276" width="7.81640625" style="2600" customWidth="1"/>
    <col min="277" max="277" width="1.08984375" style="2600" customWidth="1"/>
    <col min="278" max="278" width="0.81640625" style="2600" customWidth="1"/>
    <col min="279" max="279" width="9.08984375" style="2600" customWidth="1"/>
    <col min="280" max="280" width="1.08984375" style="2600" customWidth="1"/>
    <col min="281" max="281" width="0.81640625" style="2600" customWidth="1"/>
    <col min="282" max="282" width="9.54296875" style="2600" bestFit="1" customWidth="1"/>
    <col min="283" max="284" width="0.81640625" style="2600" customWidth="1"/>
    <col min="285" max="285" width="9.81640625" style="2600" customWidth="1"/>
    <col min="286" max="286" width="1.08984375" style="2600" customWidth="1"/>
    <col min="287" max="287" width="8.54296875" style="2600" customWidth="1"/>
    <col min="288" max="288" width="14.54296875" style="2600" customWidth="1"/>
    <col min="289" max="289" width="10" style="2600" customWidth="1"/>
    <col min="290" max="290" width="7.81640625" style="2600" bestFit="1" customWidth="1"/>
    <col min="291" max="291" width="9.81640625" style="2600" customWidth="1"/>
    <col min="292" max="508" width="8.81640625" style="2600"/>
    <col min="509" max="509" width="38.453125" style="2600" customWidth="1"/>
    <col min="510" max="510" width="8.54296875" style="2600" customWidth="1"/>
    <col min="511" max="511" width="1.08984375" style="2600" customWidth="1"/>
    <col min="512" max="512" width="8.81640625" style="2600" customWidth="1"/>
    <col min="513" max="513" width="1.08984375" style="2600" customWidth="1"/>
    <col min="514" max="514" width="9.08984375" style="2600" customWidth="1"/>
    <col min="515" max="515" width="1.08984375" style="2600" customWidth="1"/>
    <col min="516" max="516" width="10" style="2600" customWidth="1"/>
    <col min="517" max="517" width="1.08984375" style="2600" customWidth="1"/>
    <col min="518" max="518" width="9.08984375" style="2600" customWidth="1"/>
    <col min="519" max="519" width="1.08984375" style="2600" customWidth="1"/>
    <col min="520" max="520" width="11.08984375" style="2600" customWidth="1"/>
    <col min="521" max="521" width="1.08984375" style="2600" customWidth="1"/>
    <col min="522" max="522" width="9.08984375" style="2600" customWidth="1"/>
    <col min="523" max="523" width="1.81640625" style="2600" customWidth="1"/>
    <col min="524" max="524" width="11" style="2600" customWidth="1"/>
    <col min="525" max="525" width="1.08984375" style="2600" customWidth="1"/>
    <col min="526" max="526" width="10.81640625" style="2600" customWidth="1"/>
    <col min="527" max="527" width="1.08984375" style="2600" customWidth="1"/>
    <col min="528" max="528" width="10" style="2600" customWidth="1"/>
    <col min="529" max="529" width="1.08984375" style="2600" customWidth="1"/>
    <col min="530" max="530" width="9.08984375" style="2600" customWidth="1"/>
    <col min="531" max="531" width="1.08984375" style="2600" customWidth="1"/>
    <col min="532" max="532" width="7.81640625" style="2600" customWidth="1"/>
    <col min="533" max="533" width="1.08984375" style="2600" customWidth="1"/>
    <col min="534" max="534" width="0.81640625" style="2600" customWidth="1"/>
    <col min="535" max="535" width="9.08984375" style="2600" customWidth="1"/>
    <col min="536" max="536" width="1.08984375" style="2600" customWidth="1"/>
    <col min="537" max="537" width="0.81640625" style="2600" customWidth="1"/>
    <col min="538" max="538" width="9.54296875" style="2600" bestFit="1" customWidth="1"/>
    <col min="539" max="540" width="0.81640625" style="2600" customWidth="1"/>
    <col min="541" max="541" width="9.81640625" style="2600" customWidth="1"/>
    <col min="542" max="542" width="1.08984375" style="2600" customWidth="1"/>
    <col min="543" max="543" width="8.54296875" style="2600" customWidth="1"/>
    <col min="544" max="544" width="14.54296875" style="2600" customWidth="1"/>
    <col min="545" max="545" width="10" style="2600" customWidth="1"/>
    <col min="546" max="546" width="7.81640625" style="2600" bestFit="1" customWidth="1"/>
    <col min="547" max="547" width="9.81640625" style="2600" customWidth="1"/>
    <col min="548" max="764" width="8.81640625" style="2600"/>
    <col min="765" max="765" width="38.453125" style="2600" customWidth="1"/>
    <col min="766" max="766" width="8.54296875" style="2600" customWidth="1"/>
    <col min="767" max="767" width="1.08984375" style="2600" customWidth="1"/>
    <col min="768" max="768" width="8.81640625" style="2600" customWidth="1"/>
    <col min="769" max="769" width="1.08984375" style="2600" customWidth="1"/>
    <col min="770" max="770" width="9.08984375" style="2600" customWidth="1"/>
    <col min="771" max="771" width="1.08984375" style="2600" customWidth="1"/>
    <col min="772" max="772" width="10" style="2600" customWidth="1"/>
    <col min="773" max="773" width="1.08984375" style="2600" customWidth="1"/>
    <col min="774" max="774" width="9.08984375" style="2600" customWidth="1"/>
    <col min="775" max="775" width="1.08984375" style="2600" customWidth="1"/>
    <col min="776" max="776" width="11.08984375" style="2600" customWidth="1"/>
    <col min="777" max="777" width="1.08984375" style="2600" customWidth="1"/>
    <col min="778" max="778" width="9.08984375" style="2600" customWidth="1"/>
    <col min="779" max="779" width="1.81640625" style="2600" customWidth="1"/>
    <col min="780" max="780" width="11" style="2600" customWidth="1"/>
    <col min="781" max="781" width="1.08984375" style="2600" customWidth="1"/>
    <col min="782" max="782" width="10.81640625" style="2600" customWidth="1"/>
    <col min="783" max="783" width="1.08984375" style="2600" customWidth="1"/>
    <col min="784" max="784" width="10" style="2600" customWidth="1"/>
    <col min="785" max="785" width="1.08984375" style="2600" customWidth="1"/>
    <col min="786" max="786" width="9.08984375" style="2600" customWidth="1"/>
    <col min="787" max="787" width="1.08984375" style="2600" customWidth="1"/>
    <col min="788" max="788" width="7.81640625" style="2600" customWidth="1"/>
    <col min="789" max="789" width="1.08984375" style="2600" customWidth="1"/>
    <col min="790" max="790" width="0.81640625" style="2600" customWidth="1"/>
    <col min="791" max="791" width="9.08984375" style="2600" customWidth="1"/>
    <col min="792" max="792" width="1.08984375" style="2600" customWidth="1"/>
    <col min="793" max="793" width="0.81640625" style="2600" customWidth="1"/>
    <col min="794" max="794" width="9.54296875" style="2600" bestFit="1" customWidth="1"/>
    <col min="795" max="796" width="0.81640625" style="2600" customWidth="1"/>
    <col min="797" max="797" width="9.81640625" style="2600" customWidth="1"/>
    <col min="798" max="798" width="1.08984375" style="2600" customWidth="1"/>
    <col min="799" max="799" width="8.54296875" style="2600" customWidth="1"/>
    <col min="800" max="800" width="14.54296875" style="2600" customWidth="1"/>
    <col min="801" max="801" width="10" style="2600" customWidth="1"/>
    <col min="802" max="802" width="7.81640625" style="2600" bestFit="1" customWidth="1"/>
    <col min="803" max="803" width="9.81640625" style="2600" customWidth="1"/>
    <col min="804" max="1020" width="8.81640625" style="2600"/>
    <col min="1021" max="1021" width="38.453125" style="2600" customWidth="1"/>
    <col min="1022" max="1022" width="8.54296875" style="2600" customWidth="1"/>
    <col min="1023" max="1023" width="1.08984375" style="2600" customWidth="1"/>
    <col min="1024" max="1024" width="8.81640625" style="2600" customWidth="1"/>
    <col min="1025" max="1025" width="1.08984375" style="2600" customWidth="1"/>
    <col min="1026" max="1026" width="9.08984375" style="2600" customWidth="1"/>
    <col min="1027" max="1027" width="1.08984375" style="2600" customWidth="1"/>
    <col min="1028" max="1028" width="10" style="2600" customWidth="1"/>
    <col min="1029" max="1029" width="1.08984375" style="2600" customWidth="1"/>
    <col min="1030" max="1030" width="9.08984375" style="2600" customWidth="1"/>
    <col min="1031" max="1031" width="1.08984375" style="2600" customWidth="1"/>
    <col min="1032" max="1032" width="11.08984375" style="2600" customWidth="1"/>
    <col min="1033" max="1033" width="1.08984375" style="2600" customWidth="1"/>
    <col min="1034" max="1034" width="9.08984375" style="2600" customWidth="1"/>
    <col min="1035" max="1035" width="1.81640625" style="2600" customWidth="1"/>
    <col min="1036" max="1036" width="11" style="2600" customWidth="1"/>
    <col min="1037" max="1037" width="1.08984375" style="2600" customWidth="1"/>
    <col min="1038" max="1038" width="10.81640625" style="2600" customWidth="1"/>
    <col min="1039" max="1039" width="1.08984375" style="2600" customWidth="1"/>
    <col min="1040" max="1040" width="10" style="2600" customWidth="1"/>
    <col min="1041" max="1041" width="1.08984375" style="2600" customWidth="1"/>
    <col min="1042" max="1042" width="9.08984375" style="2600" customWidth="1"/>
    <col min="1043" max="1043" width="1.08984375" style="2600" customWidth="1"/>
    <col min="1044" max="1044" width="7.81640625" style="2600" customWidth="1"/>
    <col min="1045" max="1045" width="1.08984375" style="2600" customWidth="1"/>
    <col min="1046" max="1046" width="0.81640625" style="2600" customWidth="1"/>
    <col min="1047" max="1047" width="9.08984375" style="2600" customWidth="1"/>
    <col min="1048" max="1048" width="1.08984375" style="2600" customWidth="1"/>
    <col min="1049" max="1049" width="0.81640625" style="2600" customWidth="1"/>
    <col min="1050" max="1050" width="9.54296875" style="2600" bestFit="1" customWidth="1"/>
    <col min="1051" max="1052" width="0.81640625" style="2600" customWidth="1"/>
    <col min="1053" max="1053" width="9.81640625" style="2600" customWidth="1"/>
    <col min="1054" max="1054" width="1.08984375" style="2600" customWidth="1"/>
    <col min="1055" max="1055" width="8.54296875" style="2600" customWidth="1"/>
    <col min="1056" max="1056" width="14.54296875" style="2600" customWidth="1"/>
    <col min="1057" max="1057" width="10" style="2600" customWidth="1"/>
    <col min="1058" max="1058" width="7.81640625" style="2600" bestFit="1" customWidth="1"/>
    <col min="1059" max="1059" width="9.81640625" style="2600" customWidth="1"/>
    <col min="1060" max="1276" width="8.81640625" style="2600"/>
    <col min="1277" max="1277" width="38.453125" style="2600" customWidth="1"/>
    <col min="1278" max="1278" width="8.54296875" style="2600" customWidth="1"/>
    <col min="1279" max="1279" width="1.08984375" style="2600" customWidth="1"/>
    <col min="1280" max="1280" width="8.81640625" style="2600" customWidth="1"/>
    <col min="1281" max="1281" width="1.08984375" style="2600" customWidth="1"/>
    <col min="1282" max="1282" width="9.08984375" style="2600" customWidth="1"/>
    <col min="1283" max="1283" width="1.08984375" style="2600" customWidth="1"/>
    <col min="1284" max="1284" width="10" style="2600" customWidth="1"/>
    <col min="1285" max="1285" width="1.08984375" style="2600" customWidth="1"/>
    <col min="1286" max="1286" width="9.08984375" style="2600" customWidth="1"/>
    <col min="1287" max="1287" width="1.08984375" style="2600" customWidth="1"/>
    <col min="1288" max="1288" width="11.08984375" style="2600" customWidth="1"/>
    <col min="1289" max="1289" width="1.08984375" style="2600" customWidth="1"/>
    <col min="1290" max="1290" width="9.08984375" style="2600" customWidth="1"/>
    <col min="1291" max="1291" width="1.81640625" style="2600" customWidth="1"/>
    <col min="1292" max="1292" width="11" style="2600" customWidth="1"/>
    <col min="1293" max="1293" width="1.08984375" style="2600" customWidth="1"/>
    <col min="1294" max="1294" width="10.81640625" style="2600" customWidth="1"/>
    <col min="1295" max="1295" width="1.08984375" style="2600" customWidth="1"/>
    <col min="1296" max="1296" width="10" style="2600" customWidth="1"/>
    <col min="1297" max="1297" width="1.08984375" style="2600" customWidth="1"/>
    <col min="1298" max="1298" width="9.08984375" style="2600" customWidth="1"/>
    <col min="1299" max="1299" width="1.08984375" style="2600" customWidth="1"/>
    <col min="1300" max="1300" width="7.81640625" style="2600" customWidth="1"/>
    <col min="1301" max="1301" width="1.08984375" style="2600" customWidth="1"/>
    <col min="1302" max="1302" width="0.81640625" style="2600" customWidth="1"/>
    <col min="1303" max="1303" width="9.08984375" style="2600" customWidth="1"/>
    <col min="1304" max="1304" width="1.08984375" style="2600" customWidth="1"/>
    <col min="1305" max="1305" width="0.81640625" style="2600" customWidth="1"/>
    <col min="1306" max="1306" width="9.54296875" style="2600" bestFit="1" customWidth="1"/>
    <col min="1307" max="1308" width="0.81640625" style="2600" customWidth="1"/>
    <col min="1309" max="1309" width="9.81640625" style="2600" customWidth="1"/>
    <col min="1310" max="1310" width="1.08984375" style="2600" customWidth="1"/>
    <col min="1311" max="1311" width="8.54296875" style="2600" customWidth="1"/>
    <col min="1312" max="1312" width="14.54296875" style="2600" customWidth="1"/>
    <col min="1313" max="1313" width="10" style="2600" customWidth="1"/>
    <col min="1314" max="1314" width="7.81640625" style="2600" bestFit="1" customWidth="1"/>
    <col min="1315" max="1315" width="9.81640625" style="2600" customWidth="1"/>
    <col min="1316" max="1532" width="8.81640625" style="2600"/>
    <col min="1533" max="1533" width="38.453125" style="2600" customWidth="1"/>
    <col min="1534" max="1534" width="8.54296875" style="2600" customWidth="1"/>
    <col min="1535" max="1535" width="1.08984375" style="2600" customWidth="1"/>
    <col min="1536" max="1536" width="8.81640625" style="2600" customWidth="1"/>
    <col min="1537" max="1537" width="1.08984375" style="2600" customWidth="1"/>
    <col min="1538" max="1538" width="9.08984375" style="2600" customWidth="1"/>
    <col min="1539" max="1539" width="1.08984375" style="2600" customWidth="1"/>
    <col min="1540" max="1540" width="10" style="2600" customWidth="1"/>
    <col min="1541" max="1541" width="1.08984375" style="2600" customWidth="1"/>
    <col min="1542" max="1542" width="9.08984375" style="2600" customWidth="1"/>
    <col min="1543" max="1543" width="1.08984375" style="2600" customWidth="1"/>
    <col min="1544" max="1544" width="11.08984375" style="2600" customWidth="1"/>
    <col min="1545" max="1545" width="1.08984375" style="2600" customWidth="1"/>
    <col min="1546" max="1546" width="9.08984375" style="2600" customWidth="1"/>
    <col min="1547" max="1547" width="1.81640625" style="2600" customWidth="1"/>
    <col min="1548" max="1548" width="11" style="2600" customWidth="1"/>
    <col min="1549" max="1549" width="1.08984375" style="2600" customWidth="1"/>
    <col min="1550" max="1550" width="10.81640625" style="2600" customWidth="1"/>
    <col min="1551" max="1551" width="1.08984375" style="2600" customWidth="1"/>
    <col min="1552" max="1552" width="10" style="2600" customWidth="1"/>
    <col min="1553" max="1553" width="1.08984375" style="2600" customWidth="1"/>
    <col min="1554" max="1554" width="9.08984375" style="2600" customWidth="1"/>
    <col min="1555" max="1555" width="1.08984375" style="2600" customWidth="1"/>
    <col min="1556" max="1556" width="7.81640625" style="2600" customWidth="1"/>
    <col min="1557" max="1557" width="1.08984375" style="2600" customWidth="1"/>
    <col min="1558" max="1558" width="0.81640625" style="2600" customWidth="1"/>
    <col min="1559" max="1559" width="9.08984375" style="2600" customWidth="1"/>
    <col min="1560" max="1560" width="1.08984375" style="2600" customWidth="1"/>
    <col min="1561" max="1561" width="0.81640625" style="2600" customWidth="1"/>
    <col min="1562" max="1562" width="9.54296875" style="2600" bestFit="1" customWidth="1"/>
    <col min="1563" max="1564" width="0.81640625" style="2600" customWidth="1"/>
    <col min="1565" max="1565" width="9.81640625" style="2600" customWidth="1"/>
    <col min="1566" max="1566" width="1.08984375" style="2600" customWidth="1"/>
    <col min="1567" max="1567" width="8.54296875" style="2600" customWidth="1"/>
    <col min="1568" max="1568" width="14.54296875" style="2600" customWidth="1"/>
    <col min="1569" max="1569" width="10" style="2600" customWidth="1"/>
    <col min="1570" max="1570" width="7.81640625" style="2600" bestFit="1" customWidth="1"/>
    <col min="1571" max="1571" width="9.81640625" style="2600" customWidth="1"/>
    <col min="1572" max="1788" width="8.81640625" style="2600"/>
    <col min="1789" max="1789" width="38.453125" style="2600" customWidth="1"/>
    <col min="1790" max="1790" width="8.54296875" style="2600" customWidth="1"/>
    <col min="1791" max="1791" width="1.08984375" style="2600" customWidth="1"/>
    <col min="1792" max="1792" width="8.81640625" style="2600" customWidth="1"/>
    <col min="1793" max="1793" width="1.08984375" style="2600" customWidth="1"/>
    <col min="1794" max="1794" width="9.08984375" style="2600" customWidth="1"/>
    <col min="1795" max="1795" width="1.08984375" style="2600" customWidth="1"/>
    <col min="1796" max="1796" width="10" style="2600" customWidth="1"/>
    <col min="1797" max="1797" width="1.08984375" style="2600" customWidth="1"/>
    <col min="1798" max="1798" width="9.08984375" style="2600" customWidth="1"/>
    <col min="1799" max="1799" width="1.08984375" style="2600" customWidth="1"/>
    <col min="1800" max="1800" width="11.08984375" style="2600" customWidth="1"/>
    <col min="1801" max="1801" width="1.08984375" style="2600" customWidth="1"/>
    <col min="1802" max="1802" width="9.08984375" style="2600" customWidth="1"/>
    <col min="1803" max="1803" width="1.81640625" style="2600" customWidth="1"/>
    <col min="1804" max="1804" width="11" style="2600" customWidth="1"/>
    <col min="1805" max="1805" width="1.08984375" style="2600" customWidth="1"/>
    <col min="1806" max="1806" width="10.81640625" style="2600" customWidth="1"/>
    <col min="1807" max="1807" width="1.08984375" style="2600" customWidth="1"/>
    <col min="1808" max="1808" width="10" style="2600" customWidth="1"/>
    <col min="1809" max="1809" width="1.08984375" style="2600" customWidth="1"/>
    <col min="1810" max="1810" width="9.08984375" style="2600" customWidth="1"/>
    <col min="1811" max="1811" width="1.08984375" style="2600" customWidth="1"/>
    <col min="1812" max="1812" width="7.81640625" style="2600" customWidth="1"/>
    <col min="1813" max="1813" width="1.08984375" style="2600" customWidth="1"/>
    <col min="1814" max="1814" width="0.81640625" style="2600" customWidth="1"/>
    <col min="1815" max="1815" width="9.08984375" style="2600" customWidth="1"/>
    <col min="1816" max="1816" width="1.08984375" style="2600" customWidth="1"/>
    <col min="1817" max="1817" width="0.81640625" style="2600" customWidth="1"/>
    <col min="1818" max="1818" width="9.54296875" style="2600" bestFit="1" customWidth="1"/>
    <col min="1819" max="1820" width="0.81640625" style="2600" customWidth="1"/>
    <col min="1821" max="1821" width="9.81640625" style="2600" customWidth="1"/>
    <col min="1822" max="1822" width="1.08984375" style="2600" customWidth="1"/>
    <col min="1823" max="1823" width="8.54296875" style="2600" customWidth="1"/>
    <col min="1824" max="1824" width="14.54296875" style="2600" customWidth="1"/>
    <col min="1825" max="1825" width="10" style="2600" customWidth="1"/>
    <col min="1826" max="1826" width="7.81640625" style="2600" bestFit="1" customWidth="1"/>
    <col min="1827" max="1827" width="9.81640625" style="2600" customWidth="1"/>
    <col min="1828" max="2044" width="8.81640625" style="2600"/>
    <col min="2045" max="2045" width="38.453125" style="2600" customWidth="1"/>
    <col min="2046" max="2046" width="8.54296875" style="2600" customWidth="1"/>
    <col min="2047" max="2047" width="1.08984375" style="2600" customWidth="1"/>
    <col min="2048" max="2048" width="8.81640625" style="2600" customWidth="1"/>
    <col min="2049" max="2049" width="1.08984375" style="2600" customWidth="1"/>
    <col min="2050" max="2050" width="9.08984375" style="2600" customWidth="1"/>
    <col min="2051" max="2051" width="1.08984375" style="2600" customWidth="1"/>
    <col min="2052" max="2052" width="10" style="2600" customWidth="1"/>
    <col min="2053" max="2053" width="1.08984375" style="2600" customWidth="1"/>
    <col min="2054" max="2054" width="9.08984375" style="2600" customWidth="1"/>
    <col min="2055" max="2055" width="1.08984375" style="2600" customWidth="1"/>
    <col min="2056" max="2056" width="11.08984375" style="2600" customWidth="1"/>
    <col min="2057" max="2057" width="1.08984375" style="2600" customWidth="1"/>
    <col min="2058" max="2058" width="9.08984375" style="2600" customWidth="1"/>
    <col min="2059" max="2059" width="1.81640625" style="2600" customWidth="1"/>
    <col min="2060" max="2060" width="11" style="2600" customWidth="1"/>
    <col min="2061" max="2061" width="1.08984375" style="2600" customWidth="1"/>
    <col min="2062" max="2062" width="10.81640625" style="2600" customWidth="1"/>
    <col min="2063" max="2063" width="1.08984375" style="2600" customWidth="1"/>
    <col min="2064" max="2064" width="10" style="2600" customWidth="1"/>
    <col min="2065" max="2065" width="1.08984375" style="2600" customWidth="1"/>
    <col min="2066" max="2066" width="9.08984375" style="2600" customWidth="1"/>
    <col min="2067" max="2067" width="1.08984375" style="2600" customWidth="1"/>
    <col min="2068" max="2068" width="7.81640625" style="2600" customWidth="1"/>
    <col min="2069" max="2069" width="1.08984375" style="2600" customWidth="1"/>
    <col min="2070" max="2070" width="0.81640625" style="2600" customWidth="1"/>
    <col min="2071" max="2071" width="9.08984375" style="2600" customWidth="1"/>
    <col min="2072" max="2072" width="1.08984375" style="2600" customWidth="1"/>
    <col min="2073" max="2073" width="0.81640625" style="2600" customWidth="1"/>
    <col min="2074" max="2074" width="9.54296875" style="2600" bestFit="1" customWidth="1"/>
    <col min="2075" max="2076" width="0.81640625" style="2600" customWidth="1"/>
    <col min="2077" max="2077" width="9.81640625" style="2600" customWidth="1"/>
    <col min="2078" max="2078" width="1.08984375" style="2600" customWidth="1"/>
    <col min="2079" max="2079" width="8.54296875" style="2600" customWidth="1"/>
    <col min="2080" max="2080" width="14.54296875" style="2600" customWidth="1"/>
    <col min="2081" max="2081" width="10" style="2600" customWidth="1"/>
    <col min="2082" max="2082" width="7.81640625" style="2600" bestFit="1" customWidth="1"/>
    <col min="2083" max="2083" width="9.81640625" style="2600" customWidth="1"/>
    <col min="2084" max="2300" width="8.81640625" style="2600"/>
    <col min="2301" max="2301" width="38.453125" style="2600" customWidth="1"/>
    <col min="2302" max="2302" width="8.54296875" style="2600" customWidth="1"/>
    <col min="2303" max="2303" width="1.08984375" style="2600" customWidth="1"/>
    <col min="2304" max="2304" width="8.81640625" style="2600" customWidth="1"/>
    <col min="2305" max="2305" width="1.08984375" style="2600" customWidth="1"/>
    <col min="2306" max="2306" width="9.08984375" style="2600" customWidth="1"/>
    <col min="2307" max="2307" width="1.08984375" style="2600" customWidth="1"/>
    <col min="2308" max="2308" width="10" style="2600" customWidth="1"/>
    <col min="2309" max="2309" width="1.08984375" style="2600" customWidth="1"/>
    <col min="2310" max="2310" width="9.08984375" style="2600" customWidth="1"/>
    <col min="2311" max="2311" width="1.08984375" style="2600" customWidth="1"/>
    <col min="2312" max="2312" width="11.08984375" style="2600" customWidth="1"/>
    <col min="2313" max="2313" width="1.08984375" style="2600" customWidth="1"/>
    <col min="2314" max="2314" width="9.08984375" style="2600" customWidth="1"/>
    <col min="2315" max="2315" width="1.81640625" style="2600" customWidth="1"/>
    <col min="2316" max="2316" width="11" style="2600" customWidth="1"/>
    <col min="2317" max="2317" width="1.08984375" style="2600" customWidth="1"/>
    <col min="2318" max="2318" width="10.81640625" style="2600" customWidth="1"/>
    <col min="2319" max="2319" width="1.08984375" style="2600" customWidth="1"/>
    <col min="2320" max="2320" width="10" style="2600" customWidth="1"/>
    <col min="2321" max="2321" width="1.08984375" style="2600" customWidth="1"/>
    <col min="2322" max="2322" width="9.08984375" style="2600" customWidth="1"/>
    <col min="2323" max="2323" width="1.08984375" style="2600" customWidth="1"/>
    <col min="2324" max="2324" width="7.81640625" style="2600" customWidth="1"/>
    <col min="2325" max="2325" width="1.08984375" style="2600" customWidth="1"/>
    <col min="2326" max="2326" width="0.81640625" style="2600" customWidth="1"/>
    <col min="2327" max="2327" width="9.08984375" style="2600" customWidth="1"/>
    <col min="2328" max="2328" width="1.08984375" style="2600" customWidth="1"/>
    <col min="2329" max="2329" width="0.81640625" style="2600" customWidth="1"/>
    <col min="2330" max="2330" width="9.54296875" style="2600" bestFit="1" customWidth="1"/>
    <col min="2331" max="2332" width="0.81640625" style="2600" customWidth="1"/>
    <col min="2333" max="2333" width="9.81640625" style="2600" customWidth="1"/>
    <col min="2334" max="2334" width="1.08984375" style="2600" customWidth="1"/>
    <col min="2335" max="2335" width="8.54296875" style="2600" customWidth="1"/>
    <col min="2336" max="2336" width="14.54296875" style="2600" customWidth="1"/>
    <col min="2337" max="2337" width="10" style="2600" customWidth="1"/>
    <col min="2338" max="2338" width="7.81640625" style="2600" bestFit="1" customWidth="1"/>
    <col min="2339" max="2339" width="9.81640625" style="2600" customWidth="1"/>
    <col min="2340" max="2556" width="8.81640625" style="2600"/>
    <col min="2557" max="2557" width="38.453125" style="2600" customWidth="1"/>
    <col min="2558" max="2558" width="8.54296875" style="2600" customWidth="1"/>
    <col min="2559" max="2559" width="1.08984375" style="2600" customWidth="1"/>
    <col min="2560" max="2560" width="8.81640625" style="2600" customWidth="1"/>
    <col min="2561" max="2561" width="1.08984375" style="2600" customWidth="1"/>
    <col min="2562" max="2562" width="9.08984375" style="2600" customWidth="1"/>
    <col min="2563" max="2563" width="1.08984375" style="2600" customWidth="1"/>
    <col min="2564" max="2564" width="10" style="2600" customWidth="1"/>
    <col min="2565" max="2565" width="1.08984375" style="2600" customWidth="1"/>
    <col min="2566" max="2566" width="9.08984375" style="2600" customWidth="1"/>
    <col min="2567" max="2567" width="1.08984375" style="2600" customWidth="1"/>
    <col min="2568" max="2568" width="11.08984375" style="2600" customWidth="1"/>
    <col min="2569" max="2569" width="1.08984375" style="2600" customWidth="1"/>
    <col min="2570" max="2570" width="9.08984375" style="2600" customWidth="1"/>
    <col min="2571" max="2571" width="1.81640625" style="2600" customWidth="1"/>
    <col min="2572" max="2572" width="11" style="2600" customWidth="1"/>
    <col min="2573" max="2573" width="1.08984375" style="2600" customWidth="1"/>
    <col min="2574" max="2574" width="10.81640625" style="2600" customWidth="1"/>
    <col min="2575" max="2575" width="1.08984375" style="2600" customWidth="1"/>
    <col min="2576" max="2576" width="10" style="2600" customWidth="1"/>
    <col min="2577" max="2577" width="1.08984375" style="2600" customWidth="1"/>
    <col min="2578" max="2578" width="9.08984375" style="2600" customWidth="1"/>
    <col min="2579" max="2579" width="1.08984375" style="2600" customWidth="1"/>
    <col min="2580" max="2580" width="7.81640625" style="2600" customWidth="1"/>
    <col min="2581" max="2581" width="1.08984375" style="2600" customWidth="1"/>
    <col min="2582" max="2582" width="0.81640625" style="2600" customWidth="1"/>
    <col min="2583" max="2583" width="9.08984375" style="2600" customWidth="1"/>
    <col min="2584" max="2584" width="1.08984375" style="2600" customWidth="1"/>
    <col min="2585" max="2585" width="0.81640625" style="2600" customWidth="1"/>
    <col min="2586" max="2586" width="9.54296875" style="2600" bestFit="1" customWidth="1"/>
    <col min="2587" max="2588" width="0.81640625" style="2600" customWidth="1"/>
    <col min="2589" max="2589" width="9.81640625" style="2600" customWidth="1"/>
    <col min="2590" max="2590" width="1.08984375" style="2600" customWidth="1"/>
    <col min="2591" max="2591" width="8.54296875" style="2600" customWidth="1"/>
    <col min="2592" max="2592" width="14.54296875" style="2600" customWidth="1"/>
    <col min="2593" max="2593" width="10" style="2600" customWidth="1"/>
    <col min="2594" max="2594" width="7.81640625" style="2600" bestFit="1" customWidth="1"/>
    <col min="2595" max="2595" width="9.81640625" style="2600" customWidth="1"/>
    <col min="2596" max="2812" width="8.81640625" style="2600"/>
    <col min="2813" max="2813" width="38.453125" style="2600" customWidth="1"/>
    <col min="2814" max="2814" width="8.54296875" style="2600" customWidth="1"/>
    <col min="2815" max="2815" width="1.08984375" style="2600" customWidth="1"/>
    <col min="2816" max="2816" width="8.81640625" style="2600" customWidth="1"/>
    <col min="2817" max="2817" width="1.08984375" style="2600" customWidth="1"/>
    <col min="2818" max="2818" width="9.08984375" style="2600" customWidth="1"/>
    <col min="2819" max="2819" width="1.08984375" style="2600" customWidth="1"/>
    <col min="2820" max="2820" width="10" style="2600" customWidth="1"/>
    <col min="2821" max="2821" width="1.08984375" style="2600" customWidth="1"/>
    <col min="2822" max="2822" width="9.08984375" style="2600" customWidth="1"/>
    <col min="2823" max="2823" width="1.08984375" style="2600" customWidth="1"/>
    <col min="2824" max="2824" width="11.08984375" style="2600" customWidth="1"/>
    <col min="2825" max="2825" width="1.08984375" style="2600" customWidth="1"/>
    <col min="2826" max="2826" width="9.08984375" style="2600" customWidth="1"/>
    <col min="2827" max="2827" width="1.81640625" style="2600" customWidth="1"/>
    <col min="2828" max="2828" width="11" style="2600" customWidth="1"/>
    <col min="2829" max="2829" width="1.08984375" style="2600" customWidth="1"/>
    <col min="2830" max="2830" width="10.81640625" style="2600" customWidth="1"/>
    <col min="2831" max="2831" width="1.08984375" style="2600" customWidth="1"/>
    <col min="2832" max="2832" width="10" style="2600" customWidth="1"/>
    <col min="2833" max="2833" width="1.08984375" style="2600" customWidth="1"/>
    <col min="2834" max="2834" width="9.08984375" style="2600" customWidth="1"/>
    <col min="2835" max="2835" width="1.08984375" style="2600" customWidth="1"/>
    <col min="2836" max="2836" width="7.81640625" style="2600" customWidth="1"/>
    <col min="2837" max="2837" width="1.08984375" style="2600" customWidth="1"/>
    <col min="2838" max="2838" width="0.81640625" style="2600" customWidth="1"/>
    <col min="2839" max="2839" width="9.08984375" style="2600" customWidth="1"/>
    <col min="2840" max="2840" width="1.08984375" style="2600" customWidth="1"/>
    <col min="2841" max="2841" width="0.81640625" style="2600" customWidth="1"/>
    <col min="2842" max="2842" width="9.54296875" style="2600" bestFit="1" customWidth="1"/>
    <col min="2843" max="2844" width="0.81640625" style="2600" customWidth="1"/>
    <col min="2845" max="2845" width="9.81640625" style="2600" customWidth="1"/>
    <col min="2846" max="2846" width="1.08984375" style="2600" customWidth="1"/>
    <col min="2847" max="2847" width="8.54296875" style="2600" customWidth="1"/>
    <col min="2848" max="2848" width="14.54296875" style="2600" customWidth="1"/>
    <col min="2849" max="2849" width="10" style="2600" customWidth="1"/>
    <col min="2850" max="2850" width="7.81640625" style="2600" bestFit="1" customWidth="1"/>
    <col min="2851" max="2851" width="9.81640625" style="2600" customWidth="1"/>
    <col min="2852" max="3068" width="8.81640625" style="2600"/>
    <col min="3069" max="3069" width="38.453125" style="2600" customWidth="1"/>
    <col min="3070" max="3070" width="8.54296875" style="2600" customWidth="1"/>
    <col min="3071" max="3071" width="1.08984375" style="2600" customWidth="1"/>
    <col min="3072" max="3072" width="8.81640625" style="2600" customWidth="1"/>
    <col min="3073" max="3073" width="1.08984375" style="2600" customWidth="1"/>
    <col min="3074" max="3074" width="9.08984375" style="2600" customWidth="1"/>
    <col min="3075" max="3075" width="1.08984375" style="2600" customWidth="1"/>
    <col min="3076" max="3076" width="10" style="2600" customWidth="1"/>
    <col min="3077" max="3077" width="1.08984375" style="2600" customWidth="1"/>
    <col min="3078" max="3078" width="9.08984375" style="2600" customWidth="1"/>
    <col min="3079" max="3079" width="1.08984375" style="2600" customWidth="1"/>
    <col min="3080" max="3080" width="11.08984375" style="2600" customWidth="1"/>
    <col min="3081" max="3081" width="1.08984375" style="2600" customWidth="1"/>
    <col min="3082" max="3082" width="9.08984375" style="2600" customWidth="1"/>
    <col min="3083" max="3083" width="1.81640625" style="2600" customWidth="1"/>
    <col min="3084" max="3084" width="11" style="2600" customWidth="1"/>
    <col min="3085" max="3085" width="1.08984375" style="2600" customWidth="1"/>
    <col min="3086" max="3086" width="10.81640625" style="2600" customWidth="1"/>
    <col min="3087" max="3087" width="1.08984375" style="2600" customWidth="1"/>
    <col min="3088" max="3088" width="10" style="2600" customWidth="1"/>
    <col min="3089" max="3089" width="1.08984375" style="2600" customWidth="1"/>
    <col min="3090" max="3090" width="9.08984375" style="2600" customWidth="1"/>
    <col min="3091" max="3091" width="1.08984375" style="2600" customWidth="1"/>
    <col min="3092" max="3092" width="7.81640625" style="2600" customWidth="1"/>
    <col min="3093" max="3093" width="1.08984375" style="2600" customWidth="1"/>
    <col min="3094" max="3094" width="0.81640625" style="2600" customWidth="1"/>
    <col min="3095" max="3095" width="9.08984375" style="2600" customWidth="1"/>
    <col min="3096" max="3096" width="1.08984375" style="2600" customWidth="1"/>
    <col min="3097" max="3097" width="0.81640625" style="2600" customWidth="1"/>
    <col min="3098" max="3098" width="9.54296875" style="2600" bestFit="1" customWidth="1"/>
    <col min="3099" max="3100" width="0.81640625" style="2600" customWidth="1"/>
    <col min="3101" max="3101" width="9.81640625" style="2600" customWidth="1"/>
    <col min="3102" max="3102" width="1.08984375" style="2600" customWidth="1"/>
    <col min="3103" max="3103" width="8.54296875" style="2600" customWidth="1"/>
    <col min="3104" max="3104" width="14.54296875" style="2600" customWidth="1"/>
    <col min="3105" max="3105" width="10" style="2600" customWidth="1"/>
    <col min="3106" max="3106" width="7.81640625" style="2600" bestFit="1" customWidth="1"/>
    <col min="3107" max="3107" width="9.81640625" style="2600" customWidth="1"/>
    <col min="3108" max="3324" width="8.81640625" style="2600"/>
    <col min="3325" max="3325" width="38.453125" style="2600" customWidth="1"/>
    <col min="3326" max="3326" width="8.54296875" style="2600" customWidth="1"/>
    <col min="3327" max="3327" width="1.08984375" style="2600" customWidth="1"/>
    <col min="3328" max="3328" width="8.81640625" style="2600" customWidth="1"/>
    <col min="3329" max="3329" width="1.08984375" style="2600" customWidth="1"/>
    <col min="3330" max="3330" width="9.08984375" style="2600" customWidth="1"/>
    <col min="3331" max="3331" width="1.08984375" style="2600" customWidth="1"/>
    <col min="3332" max="3332" width="10" style="2600" customWidth="1"/>
    <col min="3333" max="3333" width="1.08984375" style="2600" customWidth="1"/>
    <col min="3334" max="3334" width="9.08984375" style="2600" customWidth="1"/>
    <col min="3335" max="3335" width="1.08984375" style="2600" customWidth="1"/>
    <col min="3336" max="3336" width="11.08984375" style="2600" customWidth="1"/>
    <col min="3337" max="3337" width="1.08984375" style="2600" customWidth="1"/>
    <col min="3338" max="3338" width="9.08984375" style="2600" customWidth="1"/>
    <col min="3339" max="3339" width="1.81640625" style="2600" customWidth="1"/>
    <col min="3340" max="3340" width="11" style="2600" customWidth="1"/>
    <col min="3341" max="3341" width="1.08984375" style="2600" customWidth="1"/>
    <col min="3342" max="3342" width="10.81640625" style="2600" customWidth="1"/>
    <col min="3343" max="3343" width="1.08984375" style="2600" customWidth="1"/>
    <col min="3344" max="3344" width="10" style="2600" customWidth="1"/>
    <col min="3345" max="3345" width="1.08984375" style="2600" customWidth="1"/>
    <col min="3346" max="3346" width="9.08984375" style="2600" customWidth="1"/>
    <col min="3347" max="3347" width="1.08984375" style="2600" customWidth="1"/>
    <col min="3348" max="3348" width="7.81640625" style="2600" customWidth="1"/>
    <col min="3349" max="3349" width="1.08984375" style="2600" customWidth="1"/>
    <col min="3350" max="3350" width="0.81640625" style="2600" customWidth="1"/>
    <col min="3351" max="3351" width="9.08984375" style="2600" customWidth="1"/>
    <col min="3352" max="3352" width="1.08984375" style="2600" customWidth="1"/>
    <col min="3353" max="3353" width="0.81640625" style="2600" customWidth="1"/>
    <col min="3354" max="3354" width="9.54296875" style="2600" bestFit="1" customWidth="1"/>
    <col min="3355" max="3356" width="0.81640625" style="2600" customWidth="1"/>
    <col min="3357" max="3357" width="9.81640625" style="2600" customWidth="1"/>
    <col min="3358" max="3358" width="1.08984375" style="2600" customWidth="1"/>
    <col min="3359" max="3359" width="8.54296875" style="2600" customWidth="1"/>
    <col min="3360" max="3360" width="14.54296875" style="2600" customWidth="1"/>
    <col min="3361" max="3361" width="10" style="2600" customWidth="1"/>
    <col min="3362" max="3362" width="7.81640625" style="2600" bestFit="1" customWidth="1"/>
    <col min="3363" max="3363" width="9.81640625" style="2600" customWidth="1"/>
    <col min="3364" max="3580" width="8.81640625" style="2600"/>
    <col min="3581" max="3581" width="38.453125" style="2600" customWidth="1"/>
    <col min="3582" max="3582" width="8.54296875" style="2600" customWidth="1"/>
    <col min="3583" max="3583" width="1.08984375" style="2600" customWidth="1"/>
    <col min="3584" max="3584" width="8.81640625" style="2600" customWidth="1"/>
    <col min="3585" max="3585" width="1.08984375" style="2600" customWidth="1"/>
    <col min="3586" max="3586" width="9.08984375" style="2600" customWidth="1"/>
    <col min="3587" max="3587" width="1.08984375" style="2600" customWidth="1"/>
    <col min="3588" max="3588" width="10" style="2600" customWidth="1"/>
    <col min="3589" max="3589" width="1.08984375" style="2600" customWidth="1"/>
    <col min="3590" max="3590" width="9.08984375" style="2600" customWidth="1"/>
    <col min="3591" max="3591" width="1.08984375" style="2600" customWidth="1"/>
    <col min="3592" max="3592" width="11.08984375" style="2600" customWidth="1"/>
    <col min="3593" max="3593" width="1.08984375" style="2600" customWidth="1"/>
    <col min="3594" max="3594" width="9.08984375" style="2600" customWidth="1"/>
    <col min="3595" max="3595" width="1.81640625" style="2600" customWidth="1"/>
    <col min="3596" max="3596" width="11" style="2600" customWidth="1"/>
    <col min="3597" max="3597" width="1.08984375" style="2600" customWidth="1"/>
    <col min="3598" max="3598" width="10.81640625" style="2600" customWidth="1"/>
    <col min="3599" max="3599" width="1.08984375" style="2600" customWidth="1"/>
    <col min="3600" max="3600" width="10" style="2600" customWidth="1"/>
    <col min="3601" max="3601" width="1.08984375" style="2600" customWidth="1"/>
    <col min="3602" max="3602" width="9.08984375" style="2600" customWidth="1"/>
    <col min="3603" max="3603" width="1.08984375" style="2600" customWidth="1"/>
    <col min="3604" max="3604" width="7.81640625" style="2600" customWidth="1"/>
    <col min="3605" max="3605" width="1.08984375" style="2600" customWidth="1"/>
    <col min="3606" max="3606" width="0.81640625" style="2600" customWidth="1"/>
    <col min="3607" max="3607" width="9.08984375" style="2600" customWidth="1"/>
    <col min="3608" max="3608" width="1.08984375" style="2600" customWidth="1"/>
    <col min="3609" max="3609" width="0.81640625" style="2600" customWidth="1"/>
    <col min="3610" max="3610" width="9.54296875" style="2600" bestFit="1" customWidth="1"/>
    <col min="3611" max="3612" width="0.81640625" style="2600" customWidth="1"/>
    <col min="3613" max="3613" width="9.81640625" style="2600" customWidth="1"/>
    <col min="3614" max="3614" width="1.08984375" style="2600" customWidth="1"/>
    <col min="3615" max="3615" width="8.54296875" style="2600" customWidth="1"/>
    <col min="3616" max="3616" width="14.54296875" style="2600" customWidth="1"/>
    <col min="3617" max="3617" width="10" style="2600" customWidth="1"/>
    <col min="3618" max="3618" width="7.81640625" style="2600" bestFit="1" customWidth="1"/>
    <col min="3619" max="3619" width="9.81640625" style="2600" customWidth="1"/>
    <col min="3620" max="3836" width="8.81640625" style="2600"/>
    <col min="3837" max="3837" width="38.453125" style="2600" customWidth="1"/>
    <col min="3838" max="3838" width="8.54296875" style="2600" customWidth="1"/>
    <col min="3839" max="3839" width="1.08984375" style="2600" customWidth="1"/>
    <col min="3840" max="3840" width="8.81640625" style="2600" customWidth="1"/>
    <col min="3841" max="3841" width="1.08984375" style="2600" customWidth="1"/>
    <col min="3842" max="3842" width="9.08984375" style="2600" customWidth="1"/>
    <col min="3843" max="3843" width="1.08984375" style="2600" customWidth="1"/>
    <col min="3844" max="3844" width="10" style="2600" customWidth="1"/>
    <col min="3845" max="3845" width="1.08984375" style="2600" customWidth="1"/>
    <col min="3846" max="3846" width="9.08984375" style="2600" customWidth="1"/>
    <col min="3847" max="3847" width="1.08984375" style="2600" customWidth="1"/>
    <col min="3848" max="3848" width="11.08984375" style="2600" customWidth="1"/>
    <col min="3849" max="3849" width="1.08984375" style="2600" customWidth="1"/>
    <col min="3850" max="3850" width="9.08984375" style="2600" customWidth="1"/>
    <col min="3851" max="3851" width="1.81640625" style="2600" customWidth="1"/>
    <col min="3852" max="3852" width="11" style="2600" customWidth="1"/>
    <col min="3853" max="3853" width="1.08984375" style="2600" customWidth="1"/>
    <col min="3854" max="3854" width="10.81640625" style="2600" customWidth="1"/>
    <col min="3855" max="3855" width="1.08984375" style="2600" customWidth="1"/>
    <col min="3856" max="3856" width="10" style="2600" customWidth="1"/>
    <col min="3857" max="3857" width="1.08984375" style="2600" customWidth="1"/>
    <col min="3858" max="3858" width="9.08984375" style="2600" customWidth="1"/>
    <col min="3859" max="3859" width="1.08984375" style="2600" customWidth="1"/>
    <col min="3860" max="3860" width="7.81640625" style="2600" customWidth="1"/>
    <col min="3861" max="3861" width="1.08984375" style="2600" customWidth="1"/>
    <col min="3862" max="3862" width="0.81640625" style="2600" customWidth="1"/>
    <col min="3863" max="3863" width="9.08984375" style="2600" customWidth="1"/>
    <col min="3864" max="3864" width="1.08984375" style="2600" customWidth="1"/>
    <col min="3865" max="3865" width="0.81640625" style="2600" customWidth="1"/>
    <col min="3866" max="3866" width="9.54296875" style="2600" bestFit="1" customWidth="1"/>
    <col min="3867" max="3868" width="0.81640625" style="2600" customWidth="1"/>
    <col min="3869" max="3869" width="9.81640625" style="2600" customWidth="1"/>
    <col min="3870" max="3870" width="1.08984375" style="2600" customWidth="1"/>
    <col min="3871" max="3871" width="8.54296875" style="2600" customWidth="1"/>
    <col min="3872" max="3872" width="14.54296875" style="2600" customWidth="1"/>
    <col min="3873" max="3873" width="10" style="2600" customWidth="1"/>
    <col min="3874" max="3874" width="7.81640625" style="2600" bestFit="1" customWidth="1"/>
    <col min="3875" max="3875" width="9.81640625" style="2600" customWidth="1"/>
    <col min="3876" max="4092" width="8.81640625" style="2600"/>
    <col min="4093" max="4093" width="38.453125" style="2600" customWidth="1"/>
    <col min="4094" max="4094" width="8.54296875" style="2600" customWidth="1"/>
    <col min="4095" max="4095" width="1.08984375" style="2600" customWidth="1"/>
    <col min="4096" max="4096" width="8.81640625" style="2600" customWidth="1"/>
    <col min="4097" max="4097" width="1.08984375" style="2600" customWidth="1"/>
    <col min="4098" max="4098" width="9.08984375" style="2600" customWidth="1"/>
    <col min="4099" max="4099" width="1.08984375" style="2600" customWidth="1"/>
    <col min="4100" max="4100" width="10" style="2600" customWidth="1"/>
    <col min="4101" max="4101" width="1.08984375" style="2600" customWidth="1"/>
    <col min="4102" max="4102" width="9.08984375" style="2600" customWidth="1"/>
    <col min="4103" max="4103" width="1.08984375" style="2600" customWidth="1"/>
    <col min="4104" max="4104" width="11.08984375" style="2600" customWidth="1"/>
    <col min="4105" max="4105" width="1.08984375" style="2600" customWidth="1"/>
    <col min="4106" max="4106" width="9.08984375" style="2600" customWidth="1"/>
    <col min="4107" max="4107" width="1.81640625" style="2600" customWidth="1"/>
    <col min="4108" max="4108" width="11" style="2600" customWidth="1"/>
    <col min="4109" max="4109" width="1.08984375" style="2600" customWidth="1"/>
    <col min="4110" max="4110" width="10.81640625" style="2600" customWidth="1"/>
    <col min="4111" max="4111" width="1.08984375" style="2600" customWidth="1"/>
    <col min="4112" max="4112" width="10" style="2600" customWidth="1"/>
    <col min="4113" max="4113" width="1.08984375" style="2600" customWidth="1"/>
    <col min="4114" max="4114" width="9.08984375" style="2600" customWidth="1"/>
    <col min="4115" max="4115" width="1.08984375" style="2600" customWidth="1"/>
    <col min="4116" max="4116" width="7.81640625" style="2600" customWidth="1"/>
    <col min="4117" max="4117" width="1.08984375" style="2600" customWidth="1"/>
    <col min="4118" max="4118" width="0.81640625" style="2600" customWidth="1"/>
    <col min="4119" max="4119" width="9.08984375" style="2600" customWidth="1"/>
    <col min="4120" max="4120" width="1.08984375" style="2600" customWidth="1"/>
    <col min="4121" max="4121" width="0.81640625" style="2600" customWidth="1"/>
    <col min="4122" max="4122" width="9.54296875" style="2600" bestFit="1" customWidth="1"/>
    <col min="4123" max="4124" width="0.81640625" style="2600" customWidth="1"/>
    <col min="4125" max="4125" width="9.81640625" style="2600" customWidth="1"/>
    <col min="4126" max="4126" width="1.08984375" style="2600" customWidth="1"/>
    <col min="4127" max="4127" width="8.54296875" style="2600" customWidth="1"/>
    <col min="4128" max="4128" width="14.54296875" style="2600" customWidth="1"/>
    <col min="4129" max="4129" width="10" style="2600" customWidth="1"/>
    <col min="4130" max="4130" width="7.81640625" style="2600" bestFit="1" customWidth="1"/>
    <col min="4131" max="4131" width="9.81640625" style="2600" customWidth="1"/>
    <col min="4132" max="4348" width="8.81640625" style="2600"/>
    <col min="4349" max="4349" width="38.453125" style="2600" customWidth="1"/>
    <col min="4350" max="4350" width="8.54296875" style="2600" customWidth="1"/>
    <col min="4351" max="4351" width="1.08984375" style="2600" customWidth="1"/>
    <col min="4352" max="4352" width="8.81640625" style="2600" customWidth="1"/>
    <col min="4353" max="4353" width="1.08984375" style="2600" customWidth="1"/>
    <col min="4354" max="4354" width="9.08984375" style="2600" customWidth="1"/>
    <col min="4355" max="4355" width="1.08984375" style="2600" customWidth="1"/>
    <col min="4356" max="4356" width="10" style="2600" customWidth="1"/>
    <col min="4357" max="4357" width="1.08984375" style="2600" customWidth="1"/>
    <col min="4358" max="4358" width="9.08984375" style="2600" customWidth="1"/>
    <col min="4359" max="4359" width="1.08984375" style="2600" customWidth="1"/>
    <col min="4360" max="4360" width="11.08984375" style="2600" customWidth="1"/>
    <col min="4361" max="4361" width="1.08984375" style="2600" customWidth="1"/>
    <col min="4362" max="4362" width="9.08984375" style="2600" customWidth="1"/>
    <col min="4363" max="4363" width="1.81640625" style="2600" customWidth="1"/>
    <col min="4364" max="4364" width="11" style="2600" customWidth="1"/>
    <col min="4365" max="4365" width="1.08984375" style="2600" customWidth="1"/>
    <col min="4366" max="4366" width="10.81640625" style="2600" customWidth="1"/>
    <col min="4367" max="4367" width="1.08984375" style="2600" customWidth="1"/>
    <col min="4368" max="4368" width="10" style="2600" customWidth="1"/>
    <col min="4369" max="4369" width="1.08984375" style="2600" customWidth="1"/>
    <col min="4370" max="4370" width="9.08984375" style="2600" customWidth="1"/>
    <col min="4371" max="4371" width="1.08984375" style="2600" customWidth="1"/>
    <col min="4372" max="4372" width="7.81640625" style="2600" customWidth="1"/>
    <col min="4373" max="4373" width="1.08984375" style="2600" customWidth="1"/>
    <col min="4374" max="4374" width="0.81640625" style="2600" customWidth="1"/>
    <col min="4375" max="4375" width="9.08984375" style="2600" customWidth="1"/>
    <col min="4376" max="4376" width="1.08984375" style="2600" customWidth="1"/>
    <col min="4377" max="4377" width="0.81640625" style="2600" customWidth="1"/>
    <col min="4378" max="4378" width="9.54296875" style="2600" bestFit="1" customWidth="1"/>
    <col min="4379" max="4380" width="0.81640625" style="2600" customWidth="1"/>
    <col min="4381" max="4381" width="9.81640625" style="2600" customWidth="1"/>
    <col min="4382" max="4382" width="1.08984375" style="2600" customWidth="1"/>
    <col min="4383" max="4383" width="8.54296875" style="2600" customWidth="1"/>
    <col min="4384" max="4384" width="14.54296875" style="2600" customWidth="1"/>
    <col min="4385" max="4385" width="10" style="2600" customWidth="1"/>
    <col min="4386" max="4386" width="7.81640625" style="2600" bestFit="1" customWidth="1"/>
    <col min="4387" max="4387" width="9.81640625" style="2600" customWidth="1"/>
    <col min="4388" max="4604" width="8.81640625" style="2600"/>
    <col min="4605" max="4605" width="38.453125" style="2600" customWidth="1"/>
    <col min="4606" max="4606" width="8.54296875" style="2600" customWidth="1"/>
    <col min="4607" max="4607" width="1.08984375" style="2600" customWidth="1"/>
    <col min="4608" max="4608" width="8.81640625" style="2600" customWidth="1"/>
    <col min="4609" max="4609" width="1.08984375" style="2600" customWidth="1"/>
    <col min="4610" max="4610" width="9.08984375" style="2600" customWidth="1"/>
    <col min="4611" max="4611" width="1.08984375" style="2600" customWidth="1"/>
    <col min="4612" max="4612" width="10" style="2600" customWidth="1"/>
    <col min="4613" max="4613" width="1.08984375" style="2600" customWidth="1"/>
    <col min="4614" max="4614" width="9.08984375" style="2600" customWidth="1"/>
    <col min="4615" max="4615" width="1.08984375" style="2600" customWidth="1"/>
    <col min="4616" max="4616" width="11.08984375" style="2600" customWidth="1"/>
    <col min="4617" max="4617" width="1.08984375" style="2600" customWidth="1"/>
    <col min="4618" max="4618" width="9.08984375" style="2600" customWidth="1"/>
    <col min="4619" max="4619" width="1.81640625" style="2600" customWidth="1"/>
    <col min="4620" max="4620" width="11" style="2600" customWidth="1"/>
    <col min="4621" max="4621" width="1.08984375" style="2600" customWidth="1"/>
    <col min="4622" max="4622" width="10.81640625" style="2600" customWidth="1"/>
    <col min="4623" max="4623" width="1.08984375" style="2600" customWidth="1"/>
    <col min="4624" max="4624" width="10" style="2600" customWidth="1"/>
    <col min="4625" max="4625" width="1.08984375" style="2600" customWidth="1"/>
    <col min="4626" max="4626" width="9.08984375" style="2600" customWidth="1"/>
    <col min="4627" max="4627" width="1.08984375" style="2600" customWidth="1"/>
    <col min="4628" max="4628" width="7.81640625" style="2600" customWidth="1"/>
    <col min="4629" max="4629" width="1.08984375" style="2600" customWidth="1"/>
    <col min="4630" max="4630" width="0.81640625" style="2600" customWidth="1"/>
    <col min="4631" max="4631" width="9.08984375" style="2600" customWidth="1"/>
    <col min="4632" max="4632" width="1.08984375" style="2600" customWidth="1"/>
    <col min="4633" max="4633" width="0.81640625" style="2600" customWidth="1"/>
    <col min="4634" max="4634" width="9.54296875" style="2600" bestFit="1" customWidth="1"/>
    <col min="4635" max="4636" width="0.81640625" style="2600" customWidth="1"/>
    <col min="4637" max="4637" width="9.81640625" style="2600" customWidth="1"/>
    <col min="4638" max="4638" width="1.08984375" style="2600" customWidth="1"/>
    <col min="4639" max="4639" width="8.54296875" style="2600" customWidth="1"/>
    <col min="4640" max="4640" width="14.54296875" style="2600" customWidth="1"/>
    <col min="4641" max="4641" width="10" style="2600" customWidth="1"/>
    <col min="4642" max="4642" width="7.81640625" style="2600" bestFit="1" customWidth="1"/>
    <col min="4643" max="4643" width="9.81640625" style="2600" customWidth="1"/>
    <col min="4644" max="4860" width="8.81640625" style="2600"/>
    <col min="4861" max="4861" width="38.453125" style="2600" customWidth="1"/>
    <col min="4862" max="4862" width="8.54296875" style="2600" customWidth="1"/>
    <col min="4863" max="4863" width="1.08984375" style="2600" customWidth="1"/>
    <col min="4864" max="4864" width="8.81640625" style="2600" customWidth="1"/>
    <col min="4865" max="4865" width="1.08984375" style="2600" customWidth="1"/>
    <col min="4866" max="4866" width="9.08984375" style="2600" customWidth="1"/>
    <col min="4867" max="4867" width="1.08984375" style="2600" customWidth="1"/>
    <col min="4868" max="4868" width="10" style="2600" customWidth="1"/>
    <col min="4869" max="4869" width="1.08984375" style="2600" customWidth="1"/>
    <col min="4870" max="4870" width="9.08984375" style="2600" customWidth="1"/>
    <col min="4871" max="4871" width="1.08984375" style="2600" customWidth="1"/>
    <col min="4872" max="4872" width="11.08984375" style="2600" customWidth="1"/>
    <col min="4873" max="4873" width="1.08984375" style="2600" customWidth="1"/>
    <col min="4874" max="4874" width="9.08984375" style="2600" customWidth="1"/>
    <col min="4875" max="4875" width="1.81640625" style="2600" customWidth="1"/>
    <col min="4876" max="4876" width="11" style="2600" customWidth="1"/>
    <col min="4877" max="4877" width="1.08984375" style="2600" customWidth="1"/>
    <col min="4878" max="4878" width="10.81640625" style="2600" customWidth="1"/>
    <col min="4879" max="4879" width="1.08984375" style="2600" customWidth="1"/>
    <col min="4880" max="4880" width="10" style="2600" customWidth="1"/>
    <col min="4881" max="4881" width="1.08984375" style="2600" customWidth="1"/>
    <col min="4882" max="4882" width="9.08984375" style="2600" customWidth="1"/>
    <col min="4883" max="4883" width="1.08984375" style="2600" customWidth="1"/>
    <col min="4884" max="4884" width="7.81640625" style="2600" customWidth="1"/>
    <col min="4885" max="4885" width="1.08984375" style="2600" customWidth="1"/>
    <col min="4886" max="4886" width="0.81640625" style="2600" customWidth="1"/>
    <col min="4887" max="4887" width="9.08984375" style="2600" customWidth="1"/>
    <col min="4888" max="4888" width="1.08984375" style="2600" customWidth="1"/>
    <col min="4889" max="4889" width="0.81640625" style="2600" customWidth="1"/>
    <col min="4890" max="4890" width="9.54296875" style="2600" bestFit="1" customWidth="1"/>
    <col min="4891" max="4892" width="0.81640625" style="2600" customWidth="1"/>
    <col min="4893" max="4893" width="9.81640625" style="2600" customWidth="1"/>
    <col min="4894" max="4894" width="1.08984375" style="2600" customWidth="1"/>
    <col min="4895" max="4895" width="8.54296875" style="2600" customWidth="1"/>
    <col min="4896" max="4896" width="14.54296875" style="2600" customWidth="1"/>
    <col min="4897" max="4897" width="10" style="2600" customWidth="1"/>
    <col min="4898" max="4898" width="7.81640625" style="2600" bestFit="1" customWidth="1"/>
    <col min="4899" max="4899" width="9.81640625" style="2600" customWidth="1"/>
    <col min="4900" max="5116" width="8.81640625" style="2600"/>
    <col min="5117" max="5117" width="38.453125" style="2600" customWidth="1"/>
    <col min="5118" max="5118" width="8.54296875" style="2600" customWidth="1"/>
    <col min="5119" max="5119" width="1.08984375" style="2600" customWidth="1"/>
    <col min="5120" max="5120" width="8.81640625" style="2600" customWidth="1"/>
    <col min="5121" max="5121" width="1.08984375" style="2600" customWidth="1"/>
    <col min="5122" max="5122" width="9.08984375" style="2600" customWidth="1"/>
    <col min="5123" max="5123" width="1.08984375" style="2600" customWidth="1"/>
    <col min="5124" max="5124" width="10" style="2600" customWidth="1"/>
    <col min="5125" max="5125" width="1.08984375" style="2600" customWidth="1"/>
    <col min="5126" max="5126" width="9.08984375" style="2600" customWidth="1"/>
    <col min="5127" max="5127" width="1.08984375" style="2600" customWidth="1"/>
    <col min="5128" max="5128" width="11.08984375" style="2600" customWidth="1"/>
    <col min="5129" max="5129" width="1.08984375" style="2600" customWidth="1"/>
    <col min="5130" max="5130" width="9.08984375" style="2600" customWidth="1"/>
    <col min="5131" max="5131" width="1.81640625" style="2600" customWidth="1"/>
    <col min="5132" max="5132" width="11" style="2600" customWidth="1"/>
    <col min="5133" max="5133" width="1.08984375" style="2600" customWidth="1"/>
    <col min="5134" max="5134" width="10.81640625" style="2600" customWidth="1"/>
    <col min="5135" max="5135" width="1.08984375" style="2600" customWidth="1"/>
    <col min="5136" max="5136" width="10" style="2600" customWidth="1"/>
    <col min="5137" max="5137" width="1.08984375" style="2600" customWidth="1"/>
    <col min="5138" max="5138" width="9.08984375" style="2600" customWidth="1"/>
    <col min="5139" max="5139" width="1.08984375" style="2600" customWidth="1"/>
    <col min="5140" max="5140" width="7.81640625" style="2600" customWidth="1"/>
    <col min="5141" max="5141" width="1.08984375" style="2600" customWidth="1"/>
    <col min="5142" max="5142" width="0.81640625" style="2600" customWidth="1"/>
    <col min="5143" max="5143" width="9.08984375" style="2600" customWidth="1"/>
    <col min="5144" max="5144" width="1.08984375" style="2600" customWidth="1"/>
    <col min="5145" max="5145" width="0.81640625" style="2600" customWidth="1"/>
    <col min="5146" max="5146" width="9.54296875" style="2600" bestFit="1" customWidth="1"/>
    <col min="5147" max="5148" width="0.81640625" style="2600" customWidth="1"/>
    <col min="5149" max="5149" width="9.81640625" style="2600" customWidth="1"/>
    <col min="5150" max="5150" width="1.08984375" style="2600" customWidth="1"/>
    <col min="5151" max="5151" width="8.54296875" style="2600" customWidth="1"/>
    <col min="5152" max="5152" width="14.54296875" style="2600" customWidth="1"/>
    <col min="5153" max="5153" width="10" style="2600" customWidth="1"/>
    <col min="5154" max="5154" width="7.81640625" style="2600" bestFit="1" customWidth="1"/>
    <col min="5155" max="5155" width="9.81640625" style="2600" customWidth="1"/>
    <col min="5156" max="5372" width="8.81640625" style="2600"/>
    <col min="5373" max="5373" width="38.453125" style="2600" customWidth="1"/>
    <col min="5374" max="5374" width="8.54296875" style="2600" customWidth="1"/>
    <col min="5375" max="5375" width="1.08984375" style="2600" customWidth="1"/>
    <col min="5376" max="5376" width="8.81640625" style="2600" customWidth="1"/>
    <col min="5377" max="5377" width="1.08984375" style="2600" customWidth="1"/>
    <col min="5378" max="5378" width="9.08984375" style="2600" customWidth="1"/>
    <col min="5379" max="5379" width="1.08984375" style="2600" customWidth="1"/>
    <col min="5380" max="5380" width="10" style="2600" customWidth="1"/>
    <col min="5381" max="5381" width="1.08984375" style="2600" customWidth="1"/>
    <col min="5382" max="5382" width="9.08984375" style="2600" customWidth="1"/>
    <col min="5383" max="5383" width="1.08984375" style="2600" customWidth="1"/>
    <col min="5384" max="5384" width="11.08984375" style="2600" customWidth="1"/>
    <col min="5385" max="5385" width="1.08984375" style="2600" customWidth="1"/>
    <col min="5386" max="5386" width="9.08984375" style="2600" customWidth="1"/>
    <col min="5387" max="5387" width="1.81640625" style="2600" customWidth="1"/>
    <col min="5388" max="5388" width="11" style="2600" customWidth="1"/>
    <col min="5389" max="5389" width="1.08984375" style="2600" customWidth="1"/>
    <col min="5390" max="5390" width="10.81640625" style="2600" customWidth="1"/>
    <col min="5391" max="5391" width="1.08984375" style="2600" customWidth="1"/>
    <col min="5392" max="5392" width="10" style="2600" customWidth="1"/>
    <col min="5393" max="5393" width="1.08984375" style="2600" customWidth="1"/>
    <col min="5394" max="5394" width="9.08984375" style="2600" customWidth="1"/>
    <col min="5395" max="5395" width="1.08984375" style="2600" customWidth="1"/>
    <col min="5396" max="5396" width="7.81640625" style="2600" customWidth="1"/>
    <col min="5397" max="5397" width="1.08984375" style="2600" customWidth="1"/>
    <col min="5398" max="5398" width="0.81640625" style="2600" customWidth="1"/>
    <col min="5399" max="5399" width="9.08984375" style="2600" customWidth="1"/>
    <col min="5400" max="5400" width="1.08984375" style="2600" customWidth="1"/>
    <col min="5401" max="5401" width="0.81640625" style="2600" customWidth="1"/>
    <col min="5402" max="5402" width="9.54296875" style="2600" bestFit="1" customWidth="1"/>
    <col min="5403" max="5404" width="0.81640625" style="2600" customWidth="1"/>
    <col min="5405" max="5405" width="9.81640625" style="2600" customWidth="1"/>
    <col min="5406" max="5406" width="1.08984375" style="2600" customWidth="1"/>
    <col min="5407" max="5407" width="8.54296875" style="2600" customWidth="1"/>
    <col min="5408" max="5408" width="14.54296875" style="2600" customWidth="1"/>
    <col min="5409" max="5409" width="10" style="2600" customWidth="1"/>
    <col min="5410" max="5410" width="7.81640625" style="2600" bestFit="1" customWidth="1"/>
    <col min="5411" max="5411" width="9.81640625" style="2600" customWidth="1"/>
    <col min="5412" max="5628" width="8.81640625" style="2600"/>
    <col min="5629" max="5629" width="38.453125" style="2600" customWidth="1"/>
    <col min="5630" max="5630" width="8.54296875" style="2600" customWidth="1"/>
    <col min="5631" max="5631" width="1.08984375" style="2600" customWidth="1"/>
    <col min="5632" max="5632" width="8.81640625" style="2600" customWidth="1"/>
    <col min="5633" max="5633" width="1.08984375" style="2600" customWidth="1"/>
    <col min="5634" max="5634" width="9.08984375" style="2600" customWidth="1"/>
    <col min="5635" max="5635" width="1.08984375" style="2600" customWidth="1"/>
    <col min="5636" max="5636" width="10" style="2600" customWidth="1"/>
    <col min="5637" max="5637" width="1.08984375" style="2600" customWidth="1"/>
    <col min="5638" max="5638" width="9.08984375" style="2600" customWidth="1"/>
    <col min="5639" max="5639" width="1.08984375" style="2600" customWidth="1"/>
    <col min="5640" max="5640" width="11.08984375" style="2600" customWidth="1"/>
    <col min="5641" max="5641" width="1.08984375" style="2600" customWidth="1"/>
    <col min="5642" max="5642" width="9.08984375" style="2600" customWidth="1"/>
    <col min="5643" max="5643" width="1.81640625" style="2600" customWidth="1"/>
    <col min="5644" max="5644" width="11" style="2600" customWidth="1"/>
    <col min="5645" max="5645" width="1.08984375" style="2600" customWidth="1"/>
    <col min="5646" max="5646" width="10.81640625" style="2600" customWidth="1"/>
    <col min="5647" max="5647" width="1.08984375" style="2600" customWidth="1"/>
    <col min="5648" max="5648" width="10" style="2600" customWidth="1"/>
    <col min="5649" max="5649" width="1.08984375" style="2600" customWidth="1"/>
    <col min="5650" max="5650" width="9.08984375" style="2600" customWidth="1"/>
    <col min="5651" max="5651" width="1.08984375" style="2600" customWidth="1"/>
    <col min="5652" max="5652" width="7.81640625" style="2600" customWidth="1"/>
    <col min="5653" max="5653" width="1.08984375" style="2600" customWidth="1"/>
    <col min="5654" max="5654" width="0.81640625" style="2600" customWidth="1"/>
    <col min="5655" max="5655" width="9.08984375" style="2600" customWidth="1"/>
    <col min="5656" max="5656" width="1.08984375" style="2600" customWidth="1"/>
    <col min="5657" max="5657" width="0.81640625" style="2600" customWidth="1"/>
    <col min="5658" max="5658" width="9.54296875" style="2600" bestFit="1" customWidth="1"/>
    <col min="5659" max="5660" width="0.81640625" style="2600" customWidth="1"/>
    <col min="5661" max="5661" width="9.81640625" style="2600" customWidth="1"/>
    <col min="5662" max="5662" width="1.08984375" style="2600" customWidth="1"/>
    <col min="5663" max="5663" width="8.54296875" style="2600" customWidth="1"/>
    <col min="5664" max="5664" width="14.54296875" style="2600" customWidth="1"/>
    <col min="5665" max="5665" width="10" style="2600" customWidth="1"/>
    <col min="5666" max="5666" width="7.81640625" style="2600" bestFit="1" customWidth="1"/>
    <col min="5667" max="5667" width="9.81640625" style="2600" customWidth="1"/>
    <col min="5668" max="5884" width="8.81640625" style="2600"/>
    <col min="5885" max="5885" width="38.453125" style="2600" customWidth="1"/>
    <col min="5886" max="5886" width="8.54296875" style="2600" customWidth="1"/>
    <col min="5887" max="5887" width="1.08984375" style="2600" customWidth="1"/>
    <col min="5888" max="5888" width="8.81640625" style="2600" customWidth="1"/>
    <col min="5889" max="5889" width="1.08984375" style="2600" customWidth="1"/>
    <col min="5890" max="5890" width="9.08984375" style="2600" customWidth="1"/>
    <col min="5891" max="5891" width="1.08984375" style="2600" customWidth="1"/>
    <col min="5892" max="5892" width="10" style="2600" customWidth="1"/>
    <col min="5893" max="5893" width="1.08984375" style="2600" customWidth="1"/>
    <col min="5894" max="5894" width="9.08984375" style="2600" customWidth="1"/>
    <col min="5895" max="5895" width="1.08984375" style="2600" customWidth="1"/>
    <col min="5896" max="5896" width="11.08984375" style="2600" customWidth="1"/>
    <col min="5897" max="5897" width="1.08984375" style="2600" customWidth="1"/>
    <col min="5898" max="5898" width="9.08984375" style="2600" customWidth="1"/>
    <col min="5899" max="5899" width="1.81640625" style="2600" customWidth="1"/>
    <col min="5900" max="5900" width="11" style="2600" customWidth="1"/>
    <col min="5901" max="5901" width="1.08984375" style="2600" customWidth="1"/>
    <col min="5902" max="5902" width="10.81640625" style="2600" customWidth="1"/>
    <col min="5903" max="5903" width="1.08984375" style="2600" customWidth="1"/>
    <col min="5904" max="5904" width="10" style="2600" customWidth="1"/>
    <col min="5905" max="5905" width="1.08984375" style="2600" customWidth="1"/>
    <col min="5906" max="5906" width="9.08984375" style="2600" customWidth="1"/>
    <col min="5907" max="5907" width="1.08984375" style="2600" customWidth="1"/>
    <col min="5908" max="5908" width="7.81640625" style="2600" customWidth="1"/>
    <col min="5909" max="5909" width="1.08984375" style="2600" customWidth="1"/>
    <col min="5910" max="5910" width="0.81640625" style="2600" customWidth="1"/>
    <col min="5911" max="5911" width="9.08984375" style="2600" customWidth="1"/>
    <col min="5912" max="5912" width="1.08984375" style="2600" customWidth="1"/>
    <col min="5913" max="5913" width="0.81640625" style="2600" customWidth="1"/>
    <col min="5914" max="5914" width="9.54296875" style="2600" bestFit="1" customWidth="1"/>
    <col min="5915" max="5916" width="0.81640625" style="2600" customWidth="1"/>
    <col min="5917" max="5917" width="9.81640625" style="2600" customWidth="1"/>
    <col min="5918" max="5918" width="1.08984375" style="2600" customWidth="1"/>
    <col min="5919" max="5919" width="8.54296875" style="2600" customWidth="1"/>
    <col min="5920" max="5920" width="14.54296875" style="2600" customWidth="1"/>
    <col min="5921" max="5921" width="10" style="2600" customWidth="1"/>
    <col min="5922" max="5922" width="7.81640625" style="2600" bestFit="1" customWidth="1"/>
    <col min="5923" max="5923" width="9.81640625" style="2600" customWidth="1"/>
    <col min="5924" max="6140" width="8.81640625" style="2600"/>
    <col min="6141" max="6141" width="38.453125" style="2600" customWidth="1"/>
    <col min="6142" max="6142" width="8.54296875" style="2600" customWidth="1"/>
    <col min="6143" max="6143" width="1.08984375" style="2600" customWidth="1"/>
    <col min="6144" max="6144" width="8.81640625" style="2600" customWidth="1"/>
    <col min="6145" max="6145" width="1.08984375" style="2600" customWidth="1"/>
    <col min="6146" max="6146" width="9.08984375" style="2600" customWidth="1"/>
    <col min="6147" max="6147" width="1.08984375" style="2600" customWidth="1"/>
    <col min="6148" max="6148" width="10" style="2600" customWidth="1"/>
    <col min="6149" max="6149" width="1.08984375" style="2600" customWidth="1"/>
    <col min="6150" max="6150" width="9.08984375" style="2600" customWidth="1"/>
    <col min="6151" max="6151" width="1.08984375" style="2600" customWidth="1"/>
    <col min="6152" max="6152" width="11.08984375" style="2600" customWidth="1"/>
    <col min="6153" max="6153" width="1.08984375" style="2600" customWidth="1"/>
    <col min="6154" max="6154" width="9.08984375" style="2600" customWidth="1"/>
    <col min="6155" max="6155" width="1.81640625" style="2600" customWidth="1"/>
    <col min="6156" max="6156" width="11" style="2600" customWidth="1"/>
    <col min="6157" max="6157" width="1.08984375" style="2600" customWidth="1"/>
    <col min="6158" max="6158" width="10.81640625" style="2600" customWidth="1"/>
    <col min="6159" max="6159" width="1.08984375" style="2600" customWidth="1"/>
    <col min="6160" max="6160" width="10" style="2600" customWidth="1"/>
    <col min="6161" max="6161" width="1.08984375" style="2600" customWidth="1"/>
    <col min="6162" max="6162" width="9.08984375" style="2600" customWidth="1"/>
    <col min="6163" max="6163" width="1.08984375" style="2600" customWidth="1"/>
    <col min="6164" max="6164" width="7.81640625" style="2600" customWidth="1"/>
    <col min="6165" max="6165" width="1.08984375" style="2600" customWidth="1"/>
    <col min="6166" max="6166" width="0.81640625" style="2600" customWidth="1"/>
    <col min="6167" max="6167" width="9.08984375" style="2600" customWidth="1"/>
    <col min="6168" max="6168" width="1.08984375" style="2600" customWidth="1"/>
    <col min="6169" max="6169" width="0.81640625" style="2600" customWidth="1"/>
    <col min="6170" max="6170" width="9.54296875" style="2600" bestFit="1" customWidth="1"/>
    <col min="6171" max="6172" width="0.81640625" style="2600" customWidth="1"/>
    <col min="6173" max="6173" width="9.81640625" style="2600" customWidth="1"/>
    <col min="6174" max="6174" width="1.08984375" style="2600" customWidth="1"/>
    <col min="6175" max="6175" width="8.54296875" style="2600" customWidth="1"/>
    <col min="6176" max="6176" width="14.54296875" style="2600" customWidth="1"/>
    <col min="6177" max="6177" width="10" style="2600" customWidth="1"/>
    <col min="6178" max="6178" width="7.81640625" style="2600" bestFit="1" customWidth="1"/>
    <col min="6179" max="6179" width="9.81640625" style="2600" customWidth="1"/>
    <col min="6180" max="6396" width="8.81640625" style="2600"/>
    <col min="6397" max="6397" width="38.453125" style="2600" customWidth="1"/>
    <col min="6398" max="6398" width="8.54296875" style="2600" customWidth="1"/>
    <col min="6399" max="6399" width="1.08984375" style="2600" customWidth="1"/>
    <col min="6400" max="6400" width="8.81640625" style="2600" customWidth="1"/>
    <col min="6401" max="6401" width="1.08984375" style="2600" customWidth="1"/>
    <col min="6402" max="6402" width="9.08984375" style="2600" customWidth="1"/>
    <col min="6403" max="6403" width="1.08984375" style="2600" customWidth="1"/>
    <col min="6404" max="6404" width="10" style="2600" customWidth="1"/>
    <col min="6405" max="6405" width="1.08984375" style="2600" customWidth="1"/>
    <col min="6406" max="6406" width="9.08984375" style="2600" customWidth="1"/>
    <col min="6407" max="6407" width="1.08984375" style="2600" customWidth="1"/>
    <col min="6408" max="6408" width="11.08984375" style="2600" customWidth="1"/>
    <col min="6409" max="6409" width="1.08984375" style="2600" customWidth="1"/>
    <col min="6410" max="6410" width="9.08984375" style="2600" customWidth="1"/>
    <col min="6411" max="6411" width="1.81640625" style="2600" customWidth="1"/>
    <col min="6412" max="6412" width="11" style="2600" customWidth="1"/>
    <col min="6413" max="6413" width="1.08984375" style="2600" customWidth="1"/>
    <col min="6414" max="6414" width="10.81640625" style="2600" customWidth="1"/>
    <col min="6415" max="6415" width="1.08984375" style="2600" customWidth="1"/>
    <col min="6416" max="6416" width="10" style="2600" customWidth="1"/>
    <col min="6417" max="6417" width="1.08984375" style="2600" customWidth="1"/>
    <col min="6418" max="6418" width="9.08984375" style="2600" customWidth="1"/>
    <col min="6419" max="6419" width="1.08984375" style="2600" customWidth="1"/>
    <col min="6420" max="6420" width="7.81640625" style="2600" customWidth="1"/>
    <col min="6421" max="6421" width="1.08984375" style="2600" customWidth="1"/>
    <col min="6422" max="6422" width="0.81640625" style="2600" customWidth="1"/>
    <col min="6423" max="6423" width="9.08984375" style="2600" customWidth="1"/>
    <col min="6424" max="6424" width="1.08984375" style="2600" customWidth="1"/>
    <col min="6425" max="6425" width="0.81640625" style="2600" customWidth="1"/>
    <col min="6426" max="6426" width="9.54296875" style="2600" bestFit="1" customWidth="1"/>
    <col min="6427" max="6428" width="0.81640625" style="2600" customWidth="1"/>
    <col min="6429" max="6429" width="9.81640625" style="2600" customWidth="1"/>
    <col min="6430" max="6430" width="1.08984375" style="2600" customWidth="1"/>
    <col min="6431" max="6431" width="8.54296875" style="2600" customWidth="1"/>
    <col min="6432" max="6432" width="14.54296875" style="2600" customWidth="1"/>
    <col min="6433" max="6433" width="10" style="2600" customWidth="1"/>
    <col min="6434" max="6434" width="7.81640625" style="2600" bestFit="1" customWidth="1"/>
    <col min="6435" max="6435" width="9.81640625" style="2600" customWidth="1"/>
    <col min="6436" max="6652" width="8.81640625" style="2600"/>
    <col min="6653" max="6653" width="38.453125" style="2600" customWidth="1"/>
    <col min="6654" max="6654" width="8.54296875" style="2600" customWidth="1"/>
    <col min="6655" max="6655" width="1.08984375" style="2600" customWidth="1"/>
    <col min="6656" max="6656" width="8.81640625" style="2600" customWidth="1"/>
    <col min="6657" max="6657" width="1.08984375" style="2600" customWidth="1"/>
    <col min="6658" max="6658" width="9.08984375" style="2600" customWidth="1"/>
    <col min="6659" max="6659" width="1.08984375" style="2600" customWidth="1"/>
    <col min="6660" max="6660" width="10" style="2600" customWidth="1"/>
    <col min="6661" max="6661" width="1.08984375" style="2600" customWidth="1"/>
    <col min="6662" max="6662" width="9.08984375" style="2600" customWidth="1"/>
    <col min="6663" max="6663" width="1.08984375" style="2600" customWidth="1"/>
    <col min="6664" max="6664" width="11.08984375" style="2600" customWidth="1"/>
    <col min="6665" max="6665" width="1.08984375" style="2600" customWidth="1"/>
    <col min="6666" max="6666" width="9.08984375" style="2600" customWidth="1"/>
    <col min="6667" max="6667" width="1.81640625" style="2600" customWidth="1"/>
    <col min="6668" max="6668" width="11" style="2600" customWidth="1"/>
    <col min="6669" max="6669" width="1.08984375" style="2600" customWidth="1"/>
    <col min="6670" max="6670" width="10.81640625" style="2600" customWidth="1"/>
    <col min="6671" max="6671" width="1.08984375" style="2600" customWidth="1"/>
    <col min="6672" max="6672" width="10" style="2600" customWidth="1"/>
    <col min="6673" max="6673" width="1.08984375" style="2600" customWidth="1"/>
    <col min="6674" max="6674" width="9.08984375" style="2600" customWidth="1"/>
    <col min="6675" max="6675" width="1.08984375" style="2600" customWidth="1"/>
    <col min="6676" max="6676" width="7.81640625" style="2600" customWidth="1"/>
    <col min="6677" max="6677" width="1.08984375" style="2600" customWidth="1"/>
    <col min="6678" max="6678" width="0.81640625" style="2600" customWidth="1"/>
    <col min="6679" max="6679" width="9.08984375" style="2600" customWidth="1"/>
    <col min="6680" max="6680" width="1.08984375" style="2600" customWidth="1"/>
    <col min="6681" max="6681" width="0.81640625" style="2600" customWidth="1"/>
    <col min="6682" max="6682" width="9.54296875" style="2600" bestFit="1" customWidth="1"/>
    <col min="6683" max="6684" width="0.81640625" style="2600" customWidth="1"/>
    <col min="6685" max="6685" width="9.81640625" style="2600" customWidth="1"/>
    <col min="6686" max="6686" width="1.08984375" style="2600" customWidth="1"/>
    <col min="6687" max="6687" width="8.54296875" style="2600" customWidth="1"/>
    <col min="6688" max="6688" width="14.54296875" style="2600" customWidth="1"/>
    <col min="6689" max="6689" width="10" style="2600" customWidth="1"/>
    <col min="6690" max="6690" width="7.81640625" style="2600" bestFit="1" customWidth="1"/>
    <col min="6691" max="6691" width="9.81640625" style="2600" customWidth="1"/>
    <col min="6692" max="6908" width="8.81640625" style="2600"/>
    <col min="6909" max="6909" width="38.453125" style="2600" customWidth="1"/>
    <col min="6910" max="6910" width="8.54296875" style="2600" customWidth="1"/>
    <col min="6911" max="6911" width="1.08984375" style="2600" customWidth="1"/>
    <col min="6912" max="6912" width="8.81640625" style="2600" customWidth="1"/>
    <col min="6913" max="6913" width="1.08984375" style="2600" customWidth="1"/>
    <col min="6914" max="6914" width="9.08984375" style="2600" customWidth="1"/>
    <col min="6915" max="6915" width="1.08984375" style="2600" customWidth="1"/>
    <col min="6916" max="6916" width="10" style="2600" customWidth="1"/>
    <col min="6917" max="6917" width="1.08984375" style="2600" customWidth="1"/>
    <col min="6918" max="6918" width="9.08984375" style="2600" customWidth="1"/>
    <col min="6919" max="6919" width="1.08984375" style="2600" customWidth="1"/>
    <col min="6920" max="6920" width="11.08984375" style="2600" customWidth="1"/>
    <col min="6921" max="6921" width="1.08984375" style="2600" customWidth="1"/>
    <col min="6922" max="6922" width="9.08984375" style="2600" customWidth="1"/>
    <col min="6923" max="6923" width="1.81640625" style="2600" customWidth="1"/>
    <col min="6924" max="6924" width="11" style="2600" customWidth="1"/>
    <col min="6925" max="6925" width="1.08984375" style="2600" customWidth="1"/>
    <col min="6926" max="6926" width="10.81640625" style="2600" customWidth="1"/>
    <col min="6927" max="6927" width="1.08984375" style="2600" customWidth="1"/>
    <col min="6928" max="6928" width="10" style="2600" customWidth="1"/>
    <col min="6929" max="6929" width="1.08984375" style="2600" customWidth="1"/>
    <col min="6930" max="6930" width="9.08984375" style="2600" customWidth="1"/>
    <col min="6931" max="6931" width="1.08984375" style="2600" customWidth="1"/>
    <col min="6932" max="6932" width="7.81640625" style="2600" customWidth="1"/>
    <col min="6933" max="6933" width="1.08984375" style="2600" customWidth="1"/>
    <col min="6934" max="6934" width="0.81640625" style="2600" customWidth="1"/>
    <col min="6935" max="6935" width="9.08984375" style="2600" customWidth="1"/>
    <col min="6936" max="6936" width="1.08984375" style="2600" customWidth="1"/>
    <col min="6937" max="6937" width="0.81640625" style="2600" customWidth="1"/>
    <col min="6938" max="6938" width="9.54296875" style="2600" bestFit="1" customWidth="1"/>
    <col min="6939" max="6940" width="0.81640625" style="2600" customWidth="1"/>
    <col min="6941" max="6941" width="9.81640625" style="2600" customWidth="1"/>
    <col min="6942" max="6942" width="1.08984375" style="2600" customWidth="1"/>
    <col min="6943" max="6943" width="8.54296875" style="2600" customWidth="1"/>
    <col min="6944" max="6944" width="14.54296875" style="2600" customWidth="1"/>
    <col min="6945" max="6945" width="10" style="2600" customWidth="1"/>
    <col min="6946" max="6946" width="7.81640625" style="2600" bestFit="1" customWidth="1"/>
    <col min="6947" max="6947" width="9.81640625" style="2600" customWidth="1"/>
    <col min="6948" max="7164" width="8.81640625" style="2600"/>
    <col min="7165" max="7165" width="38.453125" style="2600" customWidth="1"/>
    <col min="7166" max="7166" width="8.54296875" style="2600" customWidth="1"/>
    <col min="7167" max="7167" width="1.08984375" style="2600" customWidth="1"/>
    <col min="7168" max="7168" width="8.81640625" style="2600" customWidth="1"/>
    <col min="7169" max="7169" width="1.08984375" style="2600" customWidth="1"/>
    <col min="7170" max="7170" width="9.08984375" style="2600" customWidth="1"/>
    <col min="7171" max="7171" width="1.08984375" style="2600" customWidth="1"/>
    <col min="7172" max="7172" width="10" style="2600" customWidth="1"/>
    <col min="7173" max="7173" width="1.08984375" style="2600" customWidth="1"/>
    <col min="7174" max="7174" width="9.08984375" style="2600" customWidth="1"/>
    <col min="7175" max="7175" width="1.08984375" style="2600" customWidth="1"/>
    <col min="7176" max="7176" width="11.08984375" style="2600" customWidth="1"/>
    <col min="7177" max="7177" width="1.08984375" style="2600" customWidth="1"/>
    <col min="7178" max="7178" width="9.08984375" style="2600" customWidth="1"/>
    <col min="7179" max="7179" width="1.81640625" style="2600" customWidth="1"/>
    <col min="7180" max="7180" width="11" style="2600" customWidth="1"/>
    <col min="7181" max="7181" width="1.08984375" style="2600" customWidth="1"/>
    <col min="7182" max="7182" width="10.81640625" style="2600" customWidth="1"/>
    <col min="7183" max="7183" width="1.08984375" style="2600" customWidth="1"/>
    <col min="7184" max="7184" width="10" style="2600" customWidth="1"/>
    <col min="7185" max="7185" width="1.08984375" style="2600" customWidth="1"/>
    <col min="7186" max="7186" width="9.08984375" style="2600" customWidth="1"/>
    <col min="7187" max="7187" width="1.08984375" style="2600" customWidth="1"/>
    <col min="7188" max="7188" width="7.81640625" style="2600" customWidth="1"/>
    <col min="7189" max="7189" width="1.08984375" style="2600" customWidth="1"/>
    <col min="7190" max="7190" width="0.81640625" style="2600" customWidth="1"/>
    <col min="7191" max="7191" width="9.08984375" style="2600" customWidth="1"/>
    <col min="7192" max="7192" width="1.08984375" style="2600" customWidth="1"/>
    <col min="7193" max="7193" width="0.81640625" style="2600" customWidth="1"/>
    <col min="7194" max="7194" width="9.54296875" style="2600" bestFit="1" customWidth="1"/>
    <col min="7195" max="7196" width="0.81640625" style="2600" customWidth="1"/>
    <col min="7197" max="7197" width="9.81640625" style="2600" customWidth="1"/>
    <col min="7198" max="7198" width="1.08984375" style="2600" customWidth="1"/>
    <col min="7199" max="7199" width="8.54296875" style="2600" customWidth="1"/>
    <col min="7200" max="7200" width="14.54296875" style="2600" customWidth="1"/>
    <col min="7201" max="7201" width="10" style="2600" customWidth="1"/>
    <col min="7202" max="7202" width="7.81640625" style="2600" bestFit="1" customWidth="1"/>
    <col min="7203" max="7203" width="9.81640625" style="2600" customWidth="1"/>
    <col min="7204" max="7420" width="8.81640625" style="2600"/>
    <col min="7421" max="7421" width="38.453125" style="2600" customWidth="1"/>
    <col min="7422" max="7422" width="8.54296875" style="2600" customWidth="1"/>
    <col min="7423" max="7423" width="1.08984375" style="2600" customWidth="1"/>
    <col min="7424" max="7424" width="8.81640625" style="2600" customWidth="1"/>
    <col min="7425" max="7425" width="1.08984375" style="2600" customWidth="1"/>
    <col min="7426" max="7426" width="9.08984375" style="2600" customWidth="1"/>
    <col min="7427" max="7427" width="1.08984375" style="2600" customWidth="1"/>
    <col min="7428" max="7428" width="10" style="2600" customWidth="1"/>
    <col min="7429" max="7429" width="1.08984375" style="2600" customWidth="1"/>
    <col min="7430" max="7430" width="9.08984375" style="2600" customWidth="1"/>
    <col min="7431" max="7431" width="1.08984375" style="2600" customWidth="1"/>
    <col min="7432" max="7432" width="11.08984375" style="2600" customWidth="1"/>
    <col min="7433" max="7433" width="1.08984375" style="2600" customWidth="1"/>
    <col min="7434" max="7434" width="9.08984375" style="2600" customWidth="1"/>
    <col min="7435" max="7435" width="1.81640625" style="2600" customWidth="1"/>
    <col min="7436" max="7436" width="11" style="2600" customWidth="1"/>
    <col min="7437" max="7437" width="1.08984375" style="2600" customWidth="1"/>
    <col min="7438" max="7438" width="10.81640625" style="2600" customWidth="1"/>
    <col min="7439" max="7439" width="1.08984375" style="2600" customWidth="1"/>
    <col min="7440" max="7440" width="10" style="2600" customWidth="1"/>
    <col min="7441" max="7441" width="1.08984375" style="2600" customWidth="1"/>
    <col min="7442" max="7442" width="9.08984375" style="2600" customWidth="1"/>
    <col min="7443" max="7443" width="1.08984375" style="2600" customWidth="1"/>
    <col min="7444" max="7444" width="7.81640625" style="2600" customWidth="1"/>
    <col min="7445" max="7445" width="1.08984375" style="2600" customWidth="1"/>
    <col min="7446" max="7446" width="0.81640625" style="2600" customWidth="1"/>
    <col min="7447" max="7447" width="9.08984375" style="2600" customWidth="1"/>
    <col min="7448" max="7448" width="1.08984375" style="2600" customWidth="1"/>
    <col min="7449" max="7449" width="0.81640625" style="2600" customWidth="1"/>
    <col min="7450" max="7450" width="9.54296875" style="2600" bestFit="1" customWidth="1"/>
    <col min="7451" max="7452" width="0.81640625" style="2600" customWidth="1"/>
    <col min="7453" max="7453" width="9.81640625" style="2600" customWidth="1"/>
    <col min="7454" max="7454" width="1.08984375" style="2600" customWidth="1"/>
    <col min="7455" max="7455" width="8.54296875" style="2600" customWidth="1"/>
    <col min="7456" max="7456" width="14.54296875" style="2600" customWidth="1"/>
    <col min="7457" max="7457" width="10" style="2600" customWidth="1"/>
    <col min="7458" max="7458" width="7.81640625" style="2600" bestFit="1" customWidth="1"/>
    <col min="7459" max="7459" width="9.81640625" style="2600" customWidth="1"/>
    <col min="7460" max="7676" width="8.81640625" style="2600"/>
    <col min="7677" max="7677" width="38.453125" style="2600" customWidth="1"/>
    <col min="7678" max="7678" width="8.54296875" style="2600" customWidth="1"/>
    <col min="7679" max="7679" width="1.08984375" style="2600" customWidth="1"/>
    <col min="7680" max="7680" width="8.81640625" style="2600" customWidth="1"/>
    <col min="7681" max="7681" width="1.08984375" style="2600" customWidth="1"/>
    <col min="7682" max="7682" width="9.08984375" style="2600" customWidth="1"/>
    <col min="7683" max="7683" width="1.08984375" style="2600" customWidth="1"/>
    <col min="7684" max="7684" width="10" style="2600" customWidth="1"/>
    <col min="7685" max="7685" width="1.08984375" style="2600" customWidth="1"/>
    <col min="7686" max="7686" width="9.08984375" style="2600" customWidth="1"/>
    <col min="7687" max="7687" width="1.08984375" style="2600" customWidth="1"/>
    <col min="7688" max="7688" width="11.08984375" style="2600" customWidth="1"/>
    <col min="7689" max="7689" width="1.08984375" style="2600" customWidth="1"/>
    <col min="7690" max="7690" width="9.08984375" style="2600" customWidth="1"/>
    <col min="7691" max="7691" width="1.81640625" style="2600" customWidth="1"/>
    <col min="7692" max="7692" width="11" style="2600" customWidth="1"/>
    <col min="7693" max="7693" width="1.08984375" style="2600" customWidth="1"/>
    <col min="7694" max="7694" width="10.81640625" style="2600" customWidth="1"/>
    <col min="7695" max="7695" width="1.08984375" style="2600" customWidth="1"/>
    <col min="7696" max="7696" width="10" style="2600" customWidth="1"/>
    <col min="7697" max="7697" width="1.08984375" style="2600" customWidth="1"/>
    <col min="7698" max="7698" width="9.08984375" style="2600" customWidth="1"/>
    <col min="7699" max="7699" width="1.08984375" style="2600" customWidth="1"/>
    <col min="7700" max="7700" width="7.81640625" style="2600" customWidth="1"/>
    <col min="7701" max="7701" width="1.08984375" style="2600" customWidth="1"/>
    <col min="7702" max="7702" width="0.81640625" style="2600" customWidth="1"/>
    <col min="7703" max="7703" width="9.08984375" style="2600" customWidth="1"/>
    <col min="7704" max="7704" width="1.08984375" style="2600" customWidth="1"/>
    <col min="7705" max="7705" width="0.81640625" style="2600" customWidth="1"/>
    <col min="7706" max="7706" width="9.54296875" style="2600" bestFit="1" customWidth="1"/>
    <col min="7707" max="7708" width="0.81640625" style="2600" customWidth="1"/>
    <col min="7709" max="7709" width="9.81640625" style="2600" customWidth="1"/>
    <col min="7710" max="7710" width="1.08984375" style="2600" customWidth="1"/>
    <col min="7711" max="7711" width="8.54296875" style="2600" customWidth="1"/>
    <col min="7712" max="7712" width="14.54296875" style="2600" customWidth="1"/>
    <col min="7713" max="7713" width="10" style="2600" customWidth="1"/>
    <col min="7714" max="7714" width="7.81640625" style="2600" bestFit="1" customWidth="1"/>
    <col min="7715" max="7715" width="9.81640625" style="2600" customWidth="1"/>
    <col min="7716" max="7932" width="8.81640625" style="2600"/>
    <col min="7933" max="7933" width="38.453125" style="2600" customWidth="1"/>
    <col min="7934" max="7934" width="8.54296875" style="2600" customWidth="1"/>
    <col min="7935" max="7935" width="1.08984375" style="2600" customWidth="1"/>
    <col min="7936" max="7936" width="8.81640625" style="2600" customWidth="1"/>
    <col min="7937" max="7937" width="1.08984375" style="2600" customWidth="1"/>
    <col min="7938" max="7938" width="9.08984375" style="2600" customWidth="1"/>
    <col min="7939" max="7939" width="1.08984375" style="2600" customWidth="1"/>
    <col min="7940" max="7940" width="10" style="2600" customWidth="1"/>
    <col min="7941" max="7941" width="1.08984375" style="2600" customWidth="1"/>
    <col min="7942" max="7942" width="9.08984375" style="2600" customWidth="1"/>
    <col min="7943" max="7943" width="1.08984375" style="2600" customWidth="1"/>
    <col min="7944" max="7944" width="11.08984375" style="2600" customWidth="1"/>
    <col min="7945" max="7945" width="1.08984375" style="2600" customWidth="1"/>
    <col min="7946" max="7946" width="9.08984375" style="2600" customWidth="1"/>
    <col min="7947" max="7947" width="1.81640625" style="2600" customWidth="1"/>
    <col min="7948" max="7948" width="11" style="2600" customWidth="1"/>
    <col min="7949" max="7949" width="1.08984375" style="2600" customWidth="1"/>
    <col min="7950" max="7950" width="10.81640625" style="2600" customWidth="1"/>
    <col min="7951" max="7951" width="1.08984375" style="2600" customWidth="1"/>
    <col min="7952" max="7952" width="10" style="2600" customWidth="1"/>
    <col min="7953" max="7953" width="1.08984375" style="2600" customWidth="1"/>
    <col min="7954" max="7954" width="9.08984375" style="2600" customWidth="1"/>
    <col min="7955" max="7955" width="1.08984375" style="2600" customWidth="1"/>
    <col min="7956" max="7956" width="7.81640625" style="2600" customWidth="1"/>
    <col min="7957" max="7957" width="1.08984375" style="2600" customWidth="1"/>
    <col min="7958" max="7958" width="0.81640625" style="2600" customWidth="1"/>
    <col min="7959" max="7959" width="9.08984375" style="2600" customWidth="1"/>
    <col min="7960" max="7960" width="1.08984375" style="2600" customWidth="1"/>
    <col min="7961" max="7961" width="0.81640625" style="2600" customWidth="1"/>
    <col min="7962" max="7962" width="9.54296875" style="2600" bestFit="1" customWidth="1"/>
    <col min="7963" max="7964" width="0.81640625" style="2600" customWidth="1"/>
    <col min="7965" max="7965" width="9.81640625" style="2600" customWidth="1"/>
    <col min="7966" max="7966" width="1.08984375" style="2600" customWidth="1"/>
    <col min="7967" max="7967" width="8.54296875" style="2600" customWidth="1"/>
    <col min="7968" max="7968" width="14.54296875" style="2600" customWidth="1"/>
    <col min="7969" max="7969" width="10" style="2600" customWidth="1"/>
    <col min="7970" max="7970" width="7.81640625" style="2600" bestFit="1" customWidth="1"/>
    <col min="7971" max="7971" width="9.81640625" style="2600" customWidth="1"/>
    <col min="7972" max="8188" width="8.81640625" style="2600"/>
    <col min="8189" max="8189" width="38.453125" style="2600" customWidth="1"/>
    <col min="8190" max="8190" width="8.54296875" style="2600" customWidth="1"/>
    <col min="8191" max="8191" width="1.08984375" style="2600" customWidth="1"/>
    <col min="8192" max="8192" width="8.81640625" style="2600" customWidth="1"/>
    <col min="8193" max="8193" width="1.08984375" style="2600" customWidth="1"/>
    <col min="8194" max="8194" width="9.08984375" style="2600" customWidth="1"/>
    <col min="8195" max="8195" width="1.08984375" style="2600" customWidth="1"/>
    <col min="8196" max="8196" width="10" style="2600" customWidth="1"/>
    <col min="8197" max="8197" width="1.08984375" style="2600" customWidth="1"/>
    <col min="8198" max="8198" width="9.08984375" style="2600" customWidth="1"/>
    <col min="8199" max="8199" width="1.08984375" style="2600" customWidth="1"/>
    <col min="8200" max="8200" width="11.08984375" style="2600" customWidth="1"/>
    <col min="8201" max="8201" width="1.08984375" style="2600" customWidth="1"/>
    <col min="8202" max="8202" width="9.08984375" style="2600" customWidth="1"/>
    <col min="8203" max="8203" width="1.81640625" style="2600" customWidth="1"/>
    <col min="8204" max="8204" width="11" style="2600" customWidth="1"/>
    <col min="8205" max="8205" width="1.08984375" style="2600" customWidth="1"/>
    <col min="8206" max="8206" width="10.81640625" style="2600" customWidth="1"/>
    <col min="8207" max="8207" width="1.08984375" style="2600" customWidth="1"/>
    <col min="8208" max="8208" width="10" style="2600" customWidth="1"/>
    <col min="8209" max="8209" width="1.08984375" style="2600" customWidth="1"/>
    <col min="8210" max="8210" width="9.08984375" style="2600" customWidth="1"/>
    <col min="8211" max="8211" width="1.08984375" style="2600" customWidth="1"/>
    <col min="8212" max="8212" width="7.81640625" style="2600" customWidth="1"/>
    <col min="8213" max="8213" width="1.08984375" style="2600" customWidth="1"/>
    <col min="8214" max="8214" width="0.81640625" style="2600" customWidth="1"/>
    <col min="8215" max="8215" width="9.08984375" style="2600" customWidth="1"/>
    <col min="8216" max="8216" width="1.08984375" style="2600" customWidth="1"/>
    <col min="8217" max="8217" width="0.81640625" style="2600" customWidth="1"/>
    <col min="8218" max="8218" width="9.54296875" style="2600" bestFit="1" customWidth="1"/>
    <col min="8219" max="8220" width="0.81640625" style="2600" customWidth="1"/>
    <col min="8221" max="8221" width="9.81640625" style="2600" customWidth="1"/>
    <col min="8222" max="8222" width="1.08984375" style="2600" customWidth="1"/>
    <col min="8223" max="8223" width="8.54296875" style="2600" customWidth="1"/>
    <col min="8224" max="8224" width="14.54296875" style="2600" customWidth="1"/>
    <col min="8225" max="8225" width="10" style="2600" customWidth="1"/>
    <col min="8226" max="8226" width="7.81640625" style="2600" bestFit="1" customWidth="1"/>
    <col min="8227" max="8227" width="9.81640625" style="2600" customWidth="1"/>
    <col min="8228" max="8444" width="8.81640625" style="2600"/>
    <col min="8445" max="8445" width="38.453125" style="2600" customWidth="1"/>
    <col min="8446" max="8446" width="8.54296875" style="2600" customWidth="1"/>
    <col min="8447" max="8447" width="1.08984375" style="2600" customWidth="1"/>
    <col min="8448" max="8448" width="8.81640625" style="2600" customWidth="1"/>
    <col min="8449" max="8449" width="1.08984375" style="2600" customWidth="1"/>
    <col min="8450" max="8450" width="9.08984375" style="2600" customWidth="1"/>
    <col min="8451" max="8451" width="1.08984375" style="2600" customWidth="1"/>
    <col min="8452" max="8452" width="10" style="2600" customWidth="1"/>
    <col min="8453" max="8453" width="1.08984375" style="2600" customWidth="1"/>
    <col min="8454" max="8454" width="9.08984375" style="2600" customWidth="1"/>
    <col min="8455" max="8455" width="1.08984375" style="2600" customWidth="1"/>
    <col min="8456" max="8456" width="11.08984375" style="2600" customWidth="1"/>
    <col min="8457" max="8457" width="1.08984375" style="2600" customWidth="1"/>
    <col min="8458" max="8458" width="9.08984375" style="2600" customWidth="1"/>
    <col min="8459" max="8459" width="1.81640625" style="2600" customWidth="1"/>
    <col min="8460" max="8460" width="11" style="2600" customWidth="1"/>
    <col min="8461" max="8461" width="1.08984375" style="2600" customWidth="1"/>
    <col min="8462" max="8462" width="10.81640625" style="2600" customWidth="1"/>
    <col min="8463" max="8463" width="1.08984375" style="2600" customWidth="1"/>
    <col min="8464" max="8464" width="10" style="2600" customWidth="1"/>
    <col min="8465" max="8465" width="1.08984375" style="2600" customWidth="1"/>
    <col min="8466" max="8466" width="9.08984375" style="2600" customWidth="1"/>
    <col min="8467" max="8467" width="1.08984375" style="2600" customWidth="1"/>
    <col min="8468" max="8468" width="7.81640625" style="2600" customWidth="1"/>
    <col min="8469" max="8469" width="1.08984375" style="2600" customWidth="1"/>
    <col min="8470" max="8470" width="0.81640625" style="2600" customWidth="1"/>
    <col min="8471" max="8471" width="9.08984375" style="2600" customWidth="1"/>
    <col min="8472" max="8472" width="1.08984375" style="2600" customWidth="1"/>
    <col min="8473" max="8473" width="0.81640625" style="2600" customWidth="1"/>
    <col min="8474" max="8474" width="9.54296875" style="2600" bestFit="1" customWidth="1"/>
    <col min="8475" max="8476" width="0.81640625" style="2600" customWidth="1"/>
    <col min="8477" max="8477" width="9.81640625" style="2600" customWidth="1"/>
    <col min="8478" max="8478" width="1.08984375" style="2600" customWidth="1"/>
    <col min="8479" max="8479" width="8.54296875" style="2600" customWidth="1"/>
    <col min="8480" max="8480" width="14.54296875" style="2600" customWidth="1"/>
    <col min="8481" max="8481" width="10" style="2600" customWidth="1"/>
    <col min="8482" max="8482" width="7.81640625" style="2600" bestFit="1" customWidth="1"/>
    <col min="8483" max="8483" width="9.81640625" style="2600" customWidth="1"/>
    <col min="8484" max="8700" width="8.81640625" style="2600"/>
    <col min="8701" max="8701" width="38.453125" style="2600" customWidth="1"/>
    <col min="8702" max="8702" width="8.54296875" style="2600" customWidth="1"/>
    <col min="8703" max="8703" width="1.08984375" style="2600" customWidth="1"/>
    <col min="8704" max="8704" width="8.81640625" style="2600" customWidth="1"/>
    <col min="8705" max="8705" width="1.08984375" style="2600" customWidth="1"/>
    <col min="8706" max="8706" width="9.08984375" style="2600" customWidth="1"/>
    <col min="8707" max="8707" width="1.08984375" style="2600" customWidth="1"/>
    <col min="8708" max="8708" width="10" style="2600" customWidth="1"/>
    <col min="8709" max="8709" width="1.08984375" style="2600" customWidth="1"/>
    <col min="8710" max="8710" width="9.08984375" style="2600" customWidth="1"/>
    <col min="8711" max="8711" width="1.08984375" style="2600" customWidth="1"/>
    <col min="8712" max="8712" width="11.08984375" style="2600" customWidth="1"/>
    <col min="8713" max="8713" width="1.08984375" style="2600" customWidth="1"/>
    <col min="8714" max="8714" width="9.08984375" style="2600" customWidth="1"/>
    <col min="8715" max="8715" width="1.81640625" style="2600" customWidth="1"/>
    <col min="8716" max="8716" width="11" style="2600" customWidth="1"/>
    <col min="8717" max="8717" width="1.08984375" style="2600" customWidth="1"/>
    <col min="8718" max="8718" width="10.81640625" style="2600" customWidth="1"/>
    <col min="8719" max="8719" width="1.08984375" style="2600" customWidth="1"/>
    <col min="8720" max="8720" width="10" style="2600" customWidth="1"/>
    <col min="8721" max="8721" width="1.08984375" style="2600" customWidth="1"/>
    <col min="8722" max="8722" width="9.08984375" style="2600" customWidth="1"/>
    <col min="8723" max="8723" width="1.08984375" style="2600" customWidth="1"/>
    <col min="8724" max="8724" width="7.81640625" style="2600" customWidth="1"/>
    <col min="8725" max="8725" width="1.08984375" style="2600" customWidth="1"/>
    <col min="8726" max="8726" width="0.81640625" style="2600" customWidth="1"/>
    <col min="8727" max="8727" width="9.08984375" style="2600" customWidth="1"/>
    <col min="8728" max="8728" width="1.08984375" style="2600" customWidth="1"/>
    <col min="8729" max="8729" width="0.81640625" style="2600" customWidth="1"/>
    <col min="8730" max="8730" width="9.54296875" style="2600" bestFit="1" customWidth="1"/>
    <col min="8731" max="8732" width="0.81640625" style="2600" customWidth="1"/>
    <col min="8733" max="8733" width="9.81640625" style="2600" customWidth="1"/>
    <col min="8734" max="8734" width="1.08984375" style="2600" customWidth="1"/>
    <col min="8735" max="8735" width="8.54296875" style="2600" customWidth="1"/>
    <col min="8736" max="8736" width="14.54296875" style="2600" customWidth="1"/>
    <col min="8737" max="8737" width="10" style="2600" customWidth="1"/>
    <col min="8738" max="8738" width="7.81640625" style="2600" bestFit="1" customWidth="1"/>
    <col min="8739" max="8739" width="9.81640625" style="2600" customWidth="1"/>
    <col min="8740" max="8956" width="8.81640625" style="2600"/>
    <col min="8957" max="8957" width="38.453125" style="2600" customWidth="1"/>
    <col min="8958" max="8958" width="8.54296875" style="2600" customWidth="1"/>
    <col min="8959" max="8959" width="1.08984375" style="2600" customWidth="1"/>
    <col min="8960" max="8960" width="8.81640625" style="2600" customWidth="1"/>
    <col min="8961" max="8961" width="1.08984375" style="2600" customWidth="1"/>
    <col min="8962" max="8962" width="9.08984375" style="2600" customWidth="1"/>
    <col min="8963" max="8963" width="1.08984375" style="2600" customWidth="1"/>
    <col min="8964" max="8964" width="10" style="2600" customWidth="1"/>
    <col min="8965" max="8965" width="1.08984375" style="2600" customWidth="1"/>
    <col min="8966" max="8966" width="9.08984375" style="2600" customWidth="1"/>
    <col min="8967" max="8967" width="1.08984375" style="2600" customWidth="1"/>
    <col min="8968" max="8968" width="11.08984375" style="2600" customWidth="1"/>
    <col min="8969" max="8969" width="1.08984375" style="2600" customWidth="1"/>
    <col min="8970" max="8970" width="9.08984375" style="2600" customWidth="1"/>
    <col min="8971" max="8971" width="1.81640625" style="2600" customWidth="1"/>
    <col min="8972" max="8972" width="11" style="2600" customWidth="1"/>
    <col min="8973" max="8973" width="1.08984375" style="2600" customWidth="1"/>
    <col min="8974" max="8974" width="10.81640625" style="2600" customWidth="1"/>
    <col min="8975" max="8975" width="1.08984375" style="2600" customWidth="1"/>
    <col min="8976" max="8976" width="10" style="2600" customWidth="1"/>
    <col min="8977" max="8977" width="1.08984375" style="2600" customWidth="1"/>
    <col min="8978" max="8978" width="9.08984375" style="2600" customWidth="1"/>
    <col min="8979" max="8979" width="1.08984375" style="2600" customWidth="1"/>
    <col min="8980" max="8980" width="7.81640625" style="2600" customWidth="1"/>
    <col min="8981" max="8981" width="1.08984375" style="2600" customWidth="1"/>
    <col min="8982" max="8982" width="0.81640625" style="2600" customWidth="1"/>
    <col min="8983" max="8983" width="9.08984375" style="2600" customWidth="1"/>
    <col min="8984" max="8984" width="1.08984375" style="2600" customWidth="1"/>
    <col min="8985" max="8985" width="0.81640625" style="2600" customWidth="1"/>
    <col min="8986" max="8986" width="9.54296875" style="2600" bestFit="1" customWidth="1"/>
    <col min="8987" max="8988" width="0.81640625" style="2600" customWidth="1"/>
    <col min="8989" max="8989" width="9.81640625" style="2600" customWidth="1"/>
    <col min="8990" max="8990" width="1.08984375" style="2600" customWidth="1"/>
    <col min="8991" max="8991" width="8.54296875" style="2600" customWidth="1"/>
    <col min="8992" max="8992" width="14.54296875" style="2600" customWidth="1"/>
    <col min="8993" max="8993" width="10" style="2600" customWidth="1"/>
    <col min="8994" max="8994" width="7.81640625" style="2600" bestFit="1" customWidth="1"/>
    <col min="8995" max="8995" width="9.81640625" style="2600" customWidth="1"/>
    <col min="8996" max="9212" width="8.81640625" style="2600"/>
    <col min="9213" max="9213" width="38.453125" style="2600" customWidth="1"/>
    <col min="9214" max="9214" width="8.54296875" style="2600" customWidth="1"/>
    <col min="9215" max="9215" width="1.08984375" style="2600" customWidth="1"/>
    <col min="9216" max="9216" width="8.81640625" style="2600" customWidth="1"/>
    <col min="9217" max="9217" width="1.08984375" style="2600" customWidth="1"/>
    <col min="9218" max="9218" width="9.08984375" style="2600" customWidth="1"/>
    <col min="9219" max="9219" width="1.08984375" style="2600" customWidth="1"/>
    <col min="9220" max="9220" width="10" style="2600" customWidth="1"/>
    <col min="9221" max="9221" width="1.08984375" style="2600" customWidth="1"/>
    <col min="9222" max="9222" width="9.08984375" style="2600" customWidth="1"/>
    <col min="9223" max="9223" width="1.08984375" style="2600" customWidth="1"/>
    <col min="9224" max="9224" width="11.08984375" style="2600" customWidth="1"/>
    <col min="9225" max="9225" width="1.08984375" style="2600" customWidth="1"/>
    <col min="9226" max="9226" width="9.08984375" style="2600" customWidth="1"/>
    <col min="9227" max="9227" width="1.81640625" style="2600" customWidth="1"/>
    <col min="9228" max="9228" width="11" style="2600" customWidth="1"/>
    <col min="9229" max="9229" width="1.08984375" style="2600" customWidth="1"/>
    <col min="9230" max="9230" width="10.81640625" style="2600" customWidth="1"/>
    <col min="9231" max="9231" width="1.08984375" style="2600" customWidth="1"/>
    <col min="9232" max="9232" width="10" style="2600" customWidth="1"/>
    <col min="9233" max="9233" width="1.08984375" style="2600" customWidth="1"/>
    <col min="9234" max="9234" width="9.08984375" style="2600" customWidth="1"/>
    <col min="9235" max="9235" width="1.08984375" style="2600" customWidth="1"/>
    <col min="9236" max="9236" width="7.81640625" style="2600" customWidth="1"/>
    <col min="9237" max="9237" width="1.08984375" style="2600" customWidth="1"/>
    <col min="9238" max="9238" width="0.81640625" style="2600" customWidth="1"/>
    <col min="9239" max="9239" width="9.08984375" style="2600" customWidth="1"/>
    <col min="9240" max="9240" width="1.08984375" style="2600" customWidth="1"/>
    <col min="9241" max="9241" width="0.81640625" style="2600" customWidth="1"/>
    <col min="9242" max="9242" width="9.54296875" style="2600" bestFit="1" customWidth="1"/>
    <col min="9243" max="9244" width="0.81640625" style="2600" customWidth="1"/>
    <col min="9245" max="9245" width="9.81640625" style="2600" customWidth="1"/>
    <col min="9246" max="9246" width="1.08984375" style="2600" customWidth="1"/>
    <col min="9247" max="9247" width="8.54296875" style="2600" customWidth="1"/>
    <col min="9248" max="9248" width="14.54296875" style="2600" customWidth="1"/>
    <col min="9249" max="9249" width="10" style="2600" customWidth="1"/>
    <col min="9250" max="9250" width="7.81640625" style="2600" bestFit="1" customWidth="1"/>
    <col min="9251" max="9251" width="9.81640625" style="2600" customWidth="1"/>
    <col min="9252" max="9468" width="8.81640625" style="2600"/>
    <col min="9469" max="9469" width="38.453125" style="2600" customWidth="1"/>
    <col min="9470" max="9470" width="8.54296875" style="2600" customWidth="1"/>
    <col min="9471" max="9471" width="1.08984375" style="2600" customWidth="1"/>
    <col min="9472" max="9472" width="8.81640625" style="2600" customWidth="1"/>
    <col min="9473" max="9473" width="1.08984375" style="2600" customWidth="1"/>
    <col min="9474" max="9474" width="9.08984375" style="2600" customWidth="1"/>
    <col min="9475" max="9475" width="1.08984375" style="2600" customWidth="1"/>
    <col min="9476" max="9476" width="10" style="2600" customWidth="1"/>
    <col min="9477" max="9477" width="1.08984375" style="2600" customWidth="1"/>
    <col min="9478" max="9478" width="9.08984375" style="2600" customWidth="1"/>
    <col min="9479" max="9479" width="1.08984375" style="2600" customWidth="1"/>
    <col min="9480" max="9480" width="11.08984375" style="2600" customWidth="1"/>
    <col min="9481" max="9481" width="1.08984375" style="2600" customWidth="1"/>
    <col min="9482" max="9482" width="9.08984375" style="2600" customWidth="1"/>
    <col min="9483" max="9483" width="1.81640625" style="2600" customWidth="1"/>
    <col min="9484" max="9484" width="11" style="2600" customWidth="1"/>
    <col min="9485" max="9485" width="1.08984375" style="2600" customWidth="1"/>
    <col min="9486" max="9486" width="10.81640625" style="2600" customWidth="1"/>
    <col min="9487" max="9487" width="1.08984375" style="2600" customWidth="1"/>
    <col min="9488" max="9488" width="10" style="2600" customWidth="1"/>
    <col min="9489" max="9489" width="1.08984375" style="2600" customWidth="1"/>
    <col min="9490" max="9490" width="9.08984375" style="2600" customWidth="1"/>
    <col min="9491" max="9491" width="1.08984375" style="2600" customWidth="1"/>
    <col min="9492" max="9492" width="7.81640625" style="2600" customWidth="1"/>
    <col min="9493" max="9493" width="1.08984375" style="2600" customWidth="1"/>
    <col min="9494" max="9494" width="0.81640625" style="2600" customWidth="1"/>
    <col min="9495" max="9495" width="9.08984375" style="2600" customWidth="1"/>
    <col min="9496" max="9496" width="1.08984375" style="2600" customWidth="1"/>
    <col min="9497" max="9497" width="0.81640625" style="2600" customWidth="1"/>
    <col min="9498" max="9498" width="9.54296875" style="2600" bestFit="1" customWidth="1"/>
    <col min="9499" max="9500" width="0.81640625" style="2600" customWidth="1"/>
    <col min="9501" max="9501" width="9.81640625" style="2600" customWidth="1"/>
    <col min="9502" max="9502" width="1.08984375" style="2600" customWidth="1"/>
    <col min="9503" max="9503" width="8.54296875" style="2600" customWidth="1"/>
    <col min="9504" max="9504" width="14.54296875" style="2600" customWidth="1"/>
    <col min="9505" max="9505" width="10" style="2600" customWidth="1"/>
    <col min="9506" max="9506" width="7.81640625" style="2600" bestFit="1" customWidth="1"/>
    <col min="9507" max="9507" width="9.81640625" style="2600" customWidth="1"/>
    <col min="9508" max="9724" width="8.81640625" style="2600"/>
    <col min="9725" max="9725" width="38.453125" style="2600" customWidth="1"/>
    <col min="9726" max="9726" width="8.54296875" style="2600" customWidth="1"/>
    <col min="9727" max="9727" width="1.08984375" style="2600" customWidth="1"/>
    <col min="9728" max="9728" width="8.81640625" style="2600" customWidth="1"/>
    <col min="9729" max="9729" width="1.08984375" style="2600" customWidth="1"/>
    <col min="9730" max="9730" width="9.08984375" style="2600" customWidth="1"/>
    <col min="9731" max="9731" width="1.08984375" style="2600" customWidth="1"/>
    <col min="9732" max="9732" width="10" style="2600" customWidth="1"/>
    <col min="9733" max="9733" width="1.08984375" style="2600" customWidth="1"/>
    <col min="9734" max="9734" width="9.08984375" style="2600" customWidth="1"/>
    <col min="9735" max="9735" width="1.08984375" style="2600" customWidth="1"/>
    <col min="9736" max="9736" width="11.08984375" style="2600" customWidth="1"/>
    <col min="9737" max="9737" width="1.08984375" style="2600" customWidth="1"/>
    <col min="9738" max="9738" width="9.08984375" style="2600" customWidth="1"/>
    <col min="9739" max="9739" width="1.81640625" style="2600" customWidth="1"/>
    <col min="9740" max="9740" width="11" style="2600" customWidth="1"/>
    <col min="9741" max="9741" width="1.08984375" style="2600" customWidth="1"/>
    <col min="9742" max="9742" width="10.81640625" style="2600" customWidth="1"/>
    <col min="9743" max="9743" width="1.08984375" style="2600" customWidth="1"/>
    <col min="9744" max="9744" width="10" style="2600" customWidth="1"/>
    <col min="9745" max="9745" width="1.08984375" style="2600" customWidth="1"/>
    <col min="9746" max="9746" width="9.08984375" style="2600" customWidth="1"/>
    <col min="9747" max="9747" width="1.08984375" style="2600" customWidth="1"/>
    <col min="9748" max="9748" width="7.81640625" style="2600" customWidth="1"/>
    <col min="9749" max="9749" width="1.08984375" style="2600" customWidth="1"/>
    <col min="9750" max="9750" width="0.81640625" style="2600" customWidth="1"/>
    <col min="9751" max="9751" width="9.08984375" style="2600" customWidth="1"/>
    <col min="9752" max="9752" width="1.08984375" style="2600" customWidth="1"/>
    <col min="9753" max="9753" width="0.81640625" style="2600" customWidth="1"/>
    <col min="9754" max="9754" width="9.54296875" style="2600" bestFit="1" customWidth="1"/>
    <col min="9755" max="9756" width="0.81640625" style="2600" customWidth="1"/>
    <col min="9757" max="9757" width="9.81640625" style="2600" customWidth="1"/>
    <col min="9758" max="9758" width="1.08984375" style="2600" customWidth="1"/>
    <col min="9759" max="9759" width="8.54296875" style="2600" customWidth="1"/>
    <col min="9760" max="9760" width="14.54296875" style="2600" customWidth="1"/>
    <col min="9761" max="9761" width="10" style="2600" customWidth="1"/>
    <col min="9762" max="9762" width="7.81640625" style="2600" bestFit="1" customWidth="1"/>
    <col min="9763" max="9763" width="9.81640625" style="2600" customWidth="1"/>
    <col min="9764" max="9980" width="8.81640625" style="2600"/>
    <col min="9981" max="9981" width="38.453125" style="2600" customWidth="1"/>
    <col min="9982" max="9982" width="8.54296875" style="2600" customWidth="1"/>
    <col min="9983" max="9983" width="1.08984375" style="2600" customWidth="1"/>
    <col min="9984" max="9984" width="8.81640625" style="2600" customWidth="1"/>
    <col min="9985" max="9985" width="1.08984375" style="2600" customWidth="1"/>
    <col min="9986" max="9986" width="9.08984375" style="2600" customWidth="1"/>
    <col min="9987" max="9987" width="1.08984375" style="2600" customWidth="1"/>
    <col min="9988" max="9988" width="10" style="2600" customWidth="1"/>
    <col min="9989" max="9989" width="1.08984375" style="2600" customWidth="1"/>
    <col min="9990" max="9990" width="9.08984375" style="2600" customWidth="1"/>
    <col min="9991" max="9991" width="1.08984375" style="2600" customWidth="1"/>
    <col min="9992" max="9992" width="11.08984375" style="2600" customWidth="1"/>
    <col min="9993" max="9993" width="1.08984375" style="2600" customWidth="1"/>
    <col min="9994" max="9994" width="9.08984375" style="2600" customWidth="1"/>
    <col min="9995" max="9995" width="1.81640625" style="2600" customWidth="1"/>
    <col min="9996" max="9996" width="11" style="2600" customWidth="1"/>
    <col min="9997" max="9997" width="1.08984375" style="2600" customWidth="1"/>
    <col min="9998" max="9998" width="10.81640625" style="2600" customWidth="1"/>
    <col min="9999" max="9999" width="1.08984375" style="2600" customWidth="1"/>
    <col min="10000" max="10000" width="10" style="2600" customWidth="1"/>
    <col min="10001" max="10001" width="1.08984375" style="2600" customWidth="1"/>
    <col min="10002" max="10002" width="9.08984375" style="2600" customWidth="1"/>
    <col min="10003" max="10003" width="1.08984375" style="2600" customWidth="1"/>
    <col min="10004" max="10004" width="7.81640625" style="2600" customWidth="1"/>
    <col min="10005" max="10005" width="1.08984375" style="2600" customWidth="1"/>
    <col min="10006" max="10006" width="0.81640625" style="2600" customWidth="1"/>
    <col min="10007" max="10007" width="9.08984375" style="2600" customWidth="1"/>
    <col min="10008" max="10008" width="1.08984375" style="2600" customWidth="1"/>
    <col min="10009" max="10009" width="0.81640625" style="2600" customWidth="1"/>
    <col min="10010" max="10010" width="9.54296875" style="2600" bestFit="1" customWidth="1"/>
    <col min="10011" max="10012" width="0.81640625" style="2600" customWidth="1"/>
    <col min="10013" max="10013" width="9.81640625" style="2600" customWidth="1"/>
    <col min="10014" max="10014" width="1.08984375" style="2600" customWidth="1"/>
    <col min="10015" max="10015" width="8.54296875" style="2600" customWidth="1"/>
    <col min="10016" max="10016" width="14.54296875" style="2600" customWidth="1"/>
    <col min="10017" max="10017" width="10" style="2600" customWidth="1"/>
    <col min="10018" max="10018" width="7.81640625" style="2600" bestFit="1" customWidth="1"/>
    <col min="10019" max="10019" width="9.81640625" style="2600" customWidth="1"/>
    <col min="10020" max="10236" width="8.81640625" style="2600"/>
    <col min="10237" max="10237" width="38.453125" style="2600" customWidth="1"/>
    <col min="10238" max="10238" width="8.54296875" style="2600" customWidth="1"/>
    <col min="10239" max="10239" width="1.08984375" style="2600" customWidth="1"/>
    <col min="10240" max="10240" width="8.81640625" style="2600" customWidth="1"/>
    <col min="10241" max="10241" width="1.08984375" style="2600" customWidth="1"/>
    <col min="10242" max="10242" width="9.08984375" style="2600" customWidth="1"/>
    <col min="10243" max="10243" width="1.08984375" style="2600" customWidth="1"/>
    <col min="10244" max="10244" width="10" style="2600" customWidth="1"/>
    <col min="10245" max="10245" width="1.08984375" style="2600" customWidth="1"/>
    <col min="10246" max="10246" width="9.08984375" style="2600" customWidth="1"/>
    <col min="10247" max="10247" width="1.08984375" style="2600" customWidth="1"/>
    <col min="10248" max="10248" width="11.08984375" style="2600" customWidth="1"/>
    <col min="10249" max="10249" width="1.08984375" style="2600" customWidth="1"/>
    <col min="10250" max="10250" width="9.08984375" style="2600" customWidth="1"/>
    <col min="10251" max="10251" width="1.81640625" style="2600" customWidth="1"/>
    <col min="10252" max="10252" width="11" style="2600" customWidth="1"/>
    <col min="10253" max="10253" width="1.08984375" style="2600" customWidth="1"/>
    <col min="10254" max="10254" width="10.81640625" style="2600" customWidth="1"/>
    <col min="10255" max="10255" width="1.08984375" style="2600" customWidth="1"/>
    <col min="10256" max="10256" width="10" style="2600" customWidth="1"/>
    <col min="10257" max="10257" width="1.08984375" style="2600" customWidth="1"/>
    <col min="10258" max="10258" width="9.08984375" style="2600" customWidth="1"/>
    <col min="10259" max="10259" width="1.08984375" style="2600" customWidth="1"/>
    <col min="10260" max="10260" width="7.81640625" style="2600" customWidth="1"/>
    <col min="10261" max="10261" width="1.08984375" style="2600" customWidth="1"/>
    <col min="10262" max="10262" width="0.81640625" style="2600" customWidth="1"/>
    <col min="10263" max="10263" width="9.08984375" style="2600" customWidth="1"/>
    <col min="10264" max="10264" width="1.08984375" style="2600" customWidth="1"/>
    <col min="10265" max="10265" width="0.81640625" style="2600" customWidth="1"/>
    <col min="10266" max="10266" width="9.54296875" style="2600" bestFit="1" customWidth="1"/>
    <col min="10267" max="10268" width="0.81640625" style="2600" customWidth="1"/>
    <col min="10269" max="10269" width="9.81640625" style="2600" customWidth="1"/>
    <col min="10270" max="10270" width="1.08984375" style="2600" customWidth="1"/>
    <col min="10271" max="10271" width="8.54296875" style="2600" customWidth="1"/>
    <col min="10272" max="10272" width="14.54296875" style="2600" customWidth="1"/>
    <col min="10273" max="10273" width="10" style="2600" customWidth="1"/>
    <col min="10274" max="10274" width="7.81640625" style="2600" bestFit="1" customWidth="1"/>
    <col min="10275" max="10275" width="9.81640625" style="2600" customWidth="1"/>
    <col min="10276" max="10492" width="8.81640625" style="2600"/>
    <col min="10493" max="10493" width="38.453125" style="2600" customWidth="1"/>
    <col min="10494" max="10494" width="8.54296875" style="2600" customWidth="1"/>
    <col min="10495" max="10495" width="1.08984375" style="2600" customWidth="1"/>
    <col min="10496" max="10496" width="8.81640625" style="2600" customWidth="1"/>
    <col min="10497" max="10497" width="1.08984375" style="2600" customWidth="1"/>
    <col min="10498" max="10498" width="9.08984375" style="2600" customWidth="1"/>
    <col min="10499" max="10499" width="1.08984375" style="2600" customWidth="1"/>
    <col min="10500" max="10500" width="10" style="2600" customWidth="1"/>
    <col min="10501" max="10501" width="1.08984375" style="2600" customWidth="1"/>
    <col min="10502" max="10502" width="9.08984375" style="2600" customWidth="1"/>
    <col min="10503" max="10503" width="1.08984375" style="2600" customWidth="1"/>
    <col min="10504" max="10504" width="11.08984375" style="2600" customWidth="1"/>
    <col min="10505" max="10505" width="1.08984375" style="2600" customWidth="1"/>
    <col min="10506" max="10506" width="9.08984375" style="2600" customWidth="1"/>
    <col min="10507" max="10507" width="1.81640625" style="2600" customWidth="1"/>
    <col min="10508" max="10508" width="11" style="2600" customWidth="1"/>
    <col min="10509" max="10509" width="1.08984375" style="2600" customWidth="1"/>
    <col min="10510" max="10510" width="10.81640625" style="2600" customWidth="1"/>
    <col min="10511" max="10511" width="1.08984375" style="2600" customWidth="1"/>
    <col min="10512" max="10512" width="10" style="2600" customWidth="1"/>
    <col min="10513" max="10513" width="1.08984375" style="2600" customWidth="1"/>
    <col min="10514" max="10514" width="9.08984375" style="2600" customWidth="1"/>
    <col min="10515" max="10515" width="1.08984375" style="2600" customWidth="1"/>
    <col min="10516" max="10516" width="7.81640625" style="2600" customWidth="1"/>
    <col min="10517" max="10517" width="1.08984375" style="2600" customWidth="1"/>
    <col min="10518" max="10518" width="0.81640625" style="2600" customWidth="1"/>
    <col min="10519" max="10519" width="9.08984375" style="2600" customWidth="1"/>
    <col min="10520" max="10520" width="1.08984375" style="2600" customWidth="1"/>
    <col min="10521" max="10521" width="0.81640625" style="2600" customWidth="1"/>
    <col min="10522" max="10522" width="9.54296875" style="2600" bestFit="1" customWidth="1"/>
    <col min="10523" max="10524" width="0.81640625" style="2600" customWidth="1"/>
    <col min="10525" max="10525" width="9.81640625" style="2600" customWidth="1"/>
    <col min="10526" max="10526" width="1.08984375" style="2600" customWidth="1"/>
    <col min="10527" max="10527" width="8.54296875" style="2600" customWidth="1"/>
    <col min="10528" max="10528" width="14.54296875" style="2600" customWidth="1"/>
    <col min="10529" max="10529" width="10" style="2600" customWidth="1"/>
    <col min="10530" max="10530" width="7.81640625" style="2600" bestFit="1" customWidth="1"/>
    <col min="10531" max="10531" width="9.81640625" style="2600" customWidth="1"/>
    <col min="10532" max="10748" width="8.81640625" style="2600"/>
    <col min="10749" max="10749" width="38.453125" style="2600" customWidth="1"/>
    <col min="10750" max="10750" width="8.54296875" style="2600" customWidth="1"/>
    <col min="10751" max="10751" width="1.08984375" style="2600" customWidth="1"/>
    <col min="10752" max="10752" width="8.81640625" style="2600" customWidth="1"/>
    <col min="10753" max="10753" width="1.08984375" style="2600" customWidth="1"/>
    <col min="10754" max="10754" width="9.08984375" style="2600" customWidth="1"/>
    <col min="10755" max="10755" width="1.08984375" style="2600" customWidth="1"/>
    <col min="10756" max="10756" width="10" style="2600" customWidth="1"/>
    <col min="10757" max="10757" width="1.08984375" style="2600" customWidth="1"/>
    <col min="10758" max="10758" width="9.08984375" style="2600" customWidth="1"/>
    <col min="10759" max="10759" width="1.08984375" style="2600" customWidth="1"/>
    <col min="10760" max="10760" width="11.08984375" style="2600" customWidth="1"/>
    <col min="10761" max="10761" width="1.08984375" style="2600" customWidth="1"/>
    <col min="10762" max="10762" width="9.08984375" style="2600" customWidth="1"/>
    <col min="10763" max="10763" width="1.81640625" style="2600" customWidth="1"/>
    <col min="10764" max="10764" width="11" style="2600" customWidth="1"/>
    <col min="10765" max="10765" width="1.08984375" style="2600" customWidth="1"/>
    <col min="10766" max="10766" width="10.81640625" style="2600" customWidth="1"/>
    <col min="10767" max="10767" width="1.08984375" style="2600" customWidth="1"/>
    <col min="10768" max="10768" width="10" style="2600" customWidth="1"/>
    <col min="10769" max="10769" width="1.08984375" style="2600" customWidth="1"/>
    <col min="10770" max="10770" width="9.08984375" style="2600" customWidth="1"/>
    <col min="10771" max="10771" width="1.08984375" style="2600" customWidth="1"/>
    <col min="10772" max="10772" width="7.81640625" style="2600" customWidth="1"/>
    <col min="10773" max="10773" width="1.08984375" style="2600" customWidth="1"/>
    <col min="10774" max="10774" width="0.81640625" style="2600" customWidth="1"/>
    <col min="10775" max="10775" width="9.08984375" style="2600" customWidth="1"/>
    <col min="10776" max="10776" width="1.08984375" style="2600" customWidth="1"/>
    <col min="10777" max="10777" width="0.81640625" style="2600" customWidth="1"/>
    <col min="10778" max="10778" width="9.54296875" style="2600" bestFit="1" customWidth="1"/>
    <col min="10779" max="10780" width="0.81640625" style="2600" customWidth="1"/>
    <col min="10781" max="10781" width="9.81640625" style="2600" customWidth="1"/>
    <col min="10782" max="10782" width="1.08984375" style="2600" customWidth="1"/>
    <col min="10783" max="10783" width="8.54296875" style="2600" customWidth="1"/>
    <col min="10784" max="10784" width="14.54296875" style="2600" customWidth="1"/>
    <col min="10785" max="10785" width="10" style="2600" customWidth="1"/>
    <col min="10786" max="10786" width="7.81640625" style="2600" bestFit="1" customWidth="1"/>
    <col min="10787" max="10787" width="9.81640625" style="2600" customWidth="1"/>
    <col min="10788" max="11004" width="8.81640625" style="2600"/>
    <col min="11005" max="11005" width="38.453125" style="2600" customWidth="1"/>
    <col min="11006" max="11006" width="8.54296875" style="2600" customWidth="1"/>
    <col min="11007" max="11007" width="1.08984375" style="2600" customWidth="1"/>
    <col min="11008" max="11008" width="8.81640625" style="2600" customWidth="1"/>
    <col min="11009" max="11009" width="1.08984375" style="2600" customWidth="1"/>
    <col min="11010" max="11010" width="9.08984375" style="2600" customWidth="1"/>
    <col min="11011" max="11011" width="1.08984375" style="2600" customWidth="1"/>
    <col min="11012" max="11012" width="10" style="2600" customWidth="1"/>
    <col min="11013" max="11013" width="1.08984375" style="2600" customWidth="1"/>
    <col min="11014" max="11014" width="9.08984375" style="2600" customWidth="1"/>
    <col min="11015" max="11015" width="1.08984375" style="2600" customWidth="1"/>
    <col min="11016" max="11016" width="11.08984375" style="2600" customWidth="1"/>
    <col min="11017" max="11017" width="1.08984375" style="2600" customWidth="1"/>
    <col min="11018" max="11018" width="9.08984375" style="2600" customWidth="1"/>
    <col min="11019" max="11019" width="1.81640625" style="2600" customWidth="1"/>
    <col min="11020" max="11020" width="11" style="2600" customWidth="1"/>
    <col min="11021" max="11021" width="1.08984375" style="2600" customWidth="1"/>
    <col min="11022" max="11022" width="10.81640625" style="2600" customWidth="1"/>
    <col min="11023" max="11023" width="1.08984375" style="2600" customWidth="1"/>
    <col min="11024" max="11024" width="10" style="2600" customWidth="1"/>
    <col min="11025" max="11025" width="1.08984375" style="2600" customWidth="1"/>
    <col min="11026" max="11026" width="9.08984375" style="2600" customWidth="1"/>
    <col min="11027" max="11027" width="1.08984375" style="2600" customWidth="1"/>
    <col min="11028" max="11028" width="7.81640625" style="2600" customWidth="1"/>
    <col min="11029" max="11029" width="1.08984375" style="2600" customWidth="1"/>
    <col min="11030" max="11030" width="0.81640625" style="2600" customWidth="1"/>
    <col min="11031" max="11031" width="9.08984375" style="2600" customWidth="1"/>
    <col min="11032" max="11032" width="1.08984375" style="2600" customWidth="1"/>
    <col min="11033" max="11033" width="0.81640625" style="2600" customWidth="1"/>
    <col min="11034" max="11034" width="9.54296875" style="2600" bestFit="1" customWidth="1"/>
    <col min="11035" max="11036" width="0.81640625" style="2600" customWidth="1"/>
    <col min="11037" max="11037" width="9.81640625" style="2600" customWidth="1"/>
    <col min="11038" max="11038" width="1.08984375" style="2600" customWidth="1"/>
    <col min="11039" max="11039" width="8.54296875" style="2600" customWidth="1"/>
    <col min="11040" max="11040" width="14.54296875" style="2600" customWidth="1"/>
    <col min="11041" max="11041" width="10" style="2600" customWidth="1"/>
    <col min="11042" max="11042" width="7.81640625" style="2600" bestFit="1" customWidth="1"/>
    <col min="11043" max="11043" width="9.81640625" style="2600" customWidth="1"/>
    <col min="11044" max="11260" width="8.81640625" style="2600"/>
    <col min="11261" max="11261" width="38.453125" style="2600" customWidth="1"/>
    <col min="11262" max="11262" width="8.54296875" style="2600" customWidth="1"/>
    <col min="11263" max="11263" width="1.08984375" style="2600" customWidth="1"/>
    <col min="11264" max="11264" width="8.81640625" style="2600" customWidth="1"/>
    <col min="11265" max="11265" width="1.08984375" style="2600" customWidth="1"/>
    <col min="11266" max="11266" width="9.08984375" style="2600" customWidth="1"/>
    <col min="11267" max="11267" width="1.08984375" style="2600" customWidth="1"/>
    <col min="11268" max="11268" width="10" style="2600" customWidth="1"/>
    <col min="11269" max="11269" width="1.08984375" style="2600" customWidth="1"/>
    <col min="11270" max="11270" width="9.08984375" style="2600" customWidth="1"/>
    <col min="11271" max="11271" width="1.08984375" style="2600" customWidth="1"/>
    <col min="11272" max="11272" width="11.08984375" style="2600" customWidth="1"/>
    <col min="11273" max="11273" width="1.08984375" style="2600" customWidth="1"/>
    <col min="11274" max="11274" width="9.08984375" style="2600" customWidth="1"/>
    <col min="11275" max="11275" width="1.81640625" style="2600" customWidth="1"/>
    <col min="11276" max="11276" width="11" style="2600" customWidth="1"/>
    <col min="11277" max="11277" width="1.08984375" style="2600" customWidth="1"/>
    <col min="11278" max="11278" width="10.81640625" style="2600" customWidth="1"/>
    <col min="11279" max="11279" width="1.08984375" style="2600" customWidth="1"/>
    <col min="11280" max="11280" width="10" style="2600" customWidth="1"/>
    <col min="11281" max="11281" width="1.08984375" style="2600" customWidth="1"/>
    <col min="11282" max="11282" width="9.08984375" style="2600" customWidth="1"/>
    <col min="11283" max="11283" width="1.08984375" style="2600" customWidth="1"/>
    <col min="11284" max="11284" width="7.81640625" style="2600" customWidth="1"/>
    <col min="11285" max="11285" width="1.08984375" style="2600" customWidth="1"/>
    <col min="11286" max="11286" width="0.81640625" style="2600" customWidth="1"/>
    <col min="11287" max="11287" width="9.08984375" style="2600" customWidth="1"/>
    <col min="11288" max="11288" width="1.08984375" style="2600" customWidth="1"/>
    <col min="11289" max="11289" width="0.81640625" style="2600" customWidth="1"/>
    <col min="11290" max="11290" width="9.54296875" style="2600" bestFit="1" customWidth="1"/>
    <col min="11291" max="11292" width="0.81640625" style="2600" customWidth="1"/>
    <col min="11293" max="11293" width="9.81640625" style="2600" customWidth="1"/>
    <col min="11294" max="11294" width="1.08984375" style="2600" customWidth="1"/>
    <col min="11295" max="11295" width="8.54296875" style="2600" customWidth="1"/>
    <col min="11296" max="11296" width="14.54296875" style="2600" customWidth="1"/>
    <col min="11297" max="11297" width="10" style="2600" customWidth="1"/>
    <col min="11298" max="11298" width="7.81640625" style="2600" bestFit="1" customWidth="1"/>
    <col min="11299" max="11299" width="9.81640625" style="2600" customWidth="1"/>
    <col min="11300" max="11516" width="8.81640625" style="2600"/>
    <col min="11517" max="11517" width="38.453125" style="2600" customWidth="1"/>
    <col min="11518" max="11518" width="8.54296875" style="2600" customWidth="1"/>
    <col min="11519" max="11519" width="1.08984375" style="2600" customWidth="1"/>
    <col min="11520" max="11520" width="8.81640625" style="2600" customWidth="1"/>
    <col min="11521" max="11521" width="1.08984375" style="2600" customWidth="1"/>
    <col min="11522" max="11522" width="9.08984375" style="2600" customWidth="1"/>
    <col min="11523" max="11523" width="1.08984375" style="2600" customWidth="1"/>
    <col min="11524" max="11524" width="10" style="2600" customWidth="1"/>
    <col min="11525" max="11525" width="1.08984375" style="2600" customWidth="1"/>
    <col min="11526" max="11526" width="9.08984375" style="2600" customWidth="1"/>
    <col min="11527" max="11527" width="1.08984375" style="2600" customWidth="1"/>
    <col min="11528" max="11528" width="11.08984375" style="2600" customWidth="1"/>
    <col min="11529" max="11529" width="1.08984375" style="2600" customWidth="1"/>
    <col min="11530" max="11530" width="9.08984375" style="2600" customWidth="1"/>
    <col min="11531" max="11531" width="1.81640625" style="2600" customWidth="1"/>
    <col min="11532" max="11532" width="11" style="2600" customWidth="1"/>
    <col min="11533" max="11533" width="1.08984375" style="2600" customWidth="1"/>
    <col min="11534" max="11534" width="10.81640625" style="2600" customWidth="1"/>
    <col min="11535" max="11535" width="1.08984375" style="2600" customWidth="1"/>
    <col min="11536" max="11536" width="10" style="2600" customWidth="1"/>
    <col min="11537" max="11537" width="1.08984375" style="2600" customWidth="1"/>
    <col min="11538" max="11538" width="9.08984375" style="2600" customWidth="1"/>
    <col min="11539" max="11539" width="1.08984375" style="2600" customWidth="1"/>
    <col min="11540" max="11540" width="7.81640625" style="2600" customWidth="1"/>
    <col min="11541" max="11541" width="1.08984375" style="2600" customWidth="1"/>
    <col min="11542" max="11542" width="0.81640625" style="2600" customWidth="1"/>
    <col min="11543" max="11543" width="9.08984375" style="2600" customWidth="1"/>
    <col min="11544" max="11544" width="1.08984375" style="2600" customWidth="1"/>
    <col min="11545" max="11545" width="0.81640625" style="2600" customWidth="1"/>
    <col min="11546" max="11546" width="9.54296875" style="2600" bestFit="1" customWidth="1"/>
    <col min="11547" max="11548" width="0.81640625" style="2600" customWidth="1"/>
    <col min="11549" max="11549" width="9.81640625" style="2600" customWidth="1"/>
    <col min="11550" max="11550" width="1.08984375" style="2600" customWidth="1"/>
    <col min="11551" max="11551" width="8.54296875" style="2600" customWidth="1"/>
    <col min="11552" max="11552" width="14.54296875" style="2600" customWidth="1"/>
    <col min="11553" max="11553" width="10" style="2600" customWidth="1"/>
    <col min="11554" max="11554" width="7.81640625" style="2600" bestFit="1" customWidth="1"/>
    <col min="11555" max="11555" width="9.81640625" style="2600" customWidth="1"/>
    <col min="11556" max="11772" width="8.81640625" style="2600"/>
    <col min="11773" max="11773" width="38.453125" style="2600" customWidth="1"/>
    <col min="11774" max="11774" width="8.54296875" style="2600" customWidth="1"/>
    <col min="11775" max="11775" width="1.08984375" style="2600" customWidth="1"/>
    <col min="11776" max="11776" width="8.81640625" style="2600" customWidth="1"/>
    <col min="11777" max="11777" width="1.08984375" style="2600" customWidth="1"/>
    <col min="11778" max="11778" width="9.08984375" style="2600" customWidth="1"/>
    <col min="11779" max="11779" width="1.08984375" style="2600" customWidth="1"/>
    <col min="11780" max="11780" width="10" style="2600" customWidth="1"/>
    <col min="11781" max="11781" width="1.08984375" style="2600" customWidth="1"/>
    <col min="11782" max="11782" width="9.08984375" style="2600" customWidth="1"/>
    <col min="11783" max="11783" width="1.08984375" style="2600" customWidth="1"/>
    <col min="11784" max="11784" width="11.08984375" style="2600" customWidth="1"/>
    <col min="11785" max="11785" width="1.08984375" style="2600" customWidth="1"/>
    <col min="11786" max="11786" width="9.08984375" style="2600" customWidth="1"/>
    <col min="11787" max="11787" width="1.81640625" style="2600" customWidth="1"/>
    <col min="11788" max="11788" width="11" style="2600" customWidth="1"/>
    <col min="11789" max="11789" width="1.08984375" style="2600" customWidth="1"/>
    <col min="11790" max="11790" width="10.81640625" style="2600" customWidth="1"/>
    <col min="11791" max="11791" width="1.08984375" style="2600" customWidth="1"/>
    <col min="11792" max="11792" width="10" style="2600" customWidth="1"/>
    <col min="11793" max="11793" width="1.08984375" style="2600" customWidth="1"/>
    <col min="11794" max="11794" width="9.08984375" style="2600" customWidth="1"/>
    <col min="11795" max="11795" width="1.08984375" style="2600" customWidth="1"/>
    <col min="11796" max="11796" width="7.81640625" style="2600" customWidth="1"/>
    <col min="11797" max="11797" width="1.08984375" style="2600" customWidth="1"/>
    <col min="11798" max="11798" width="0.81640625" style="2600" customWidth="1"/>
    <col min="11799" max="11799" width="9.08984375" style="2600" customWidth="1"/>
    <col min="11800" max="11800" width="1.08984375" style="2600" customWidth="1"/>
    <col min="11801" max="11801" width="0.81640625" style="2600" customWidth="1"/>
    <col min="11802" max="11802" width="9.54296875" style="2600" bestFit="1" customWidth="1"/>
    <col min="11803" max="11804" width="0.81640625" style="2600" customWidth="1"/>
    <col min="11805" max="11805" width="9.81640625" style="2600" customWidth="1"/>
    <col min="11806" max="11806" width="1.08984375" style="2600" customWidth="1"/>
    <col min="11807" max="11807" width="8.54296875" style="2600" customWidth="1"/>
    <col min="11808" max="11808" width="14.54296875" style="2600" customWidth="1"/>
    <col min="11809" max="11809" width="10" style="2600" customWidth="1"/>
    <col min="11810" max="11810" width="7.81640625" style="2600" bestFit="1" customWidth="1"/>
    <col min="11811" max="11811" width="9.81640625" style="2600" customWidth="1"/>
    <col min="11812" max="12028" width="8.81640625" style="2600"/>
    <col min="12029" max="12029" width="38.453125" style="2600" customWidth="1"/>
    <col min="12030" max="12030" width="8.54296875" style="2600" customWidth="1"/>
    <col min="12031" max="12031" width="1.08984375" style="2600" customWidth="1"/>
    <col min="12032" max="12032" width="8.81640625" style="2600" customWidth="1"/>
    <col min="12033" max="12033" width="1.08984375" style="2600" customWidth="1"/>
    <col min="12034" max="12034" width="9.08984375" style="2600" customWidth="1"/>
    <col min="12035" max="12035" width="1.08984375" style="2600" customWidth="1"/>
    <col min="12036" max="12036" width="10" style="2600" customWidth="1"/>
    <col min="12037" max="12037" width="1.08984375" style="2600" customWidth="1"/>
    <col min="12038" max="12038" width="9.08984375" style="2600" customWidth="1"/>
    <col min="12039" max="12039" width="1.08984375" style="2600" customWidth="1"/>
    <col min="12040" max="12040" width="11.08984375" style="2600" customWidth="1"/>
    <col min="12041" max="12041" width="1.08984375" style="2600" customWidth="1"/>
    <col min="12042" max="12042" width="9.08984375" style="2600" customWidth="1"/>
    <col min="12043" max="12043" width="1.81640625" style="2600" customWidth="1"/>
    <col min="12044" max="12044" width="11" style="2600" customWidth="1"/>
    <col min="12045" max="12045" width="1.08984375" style="2600" customWidth="1"/>
    <col min="12046" max="12046" width="10.81640625" style="2600" customWidth="1"/>
    <col min="12047" max="12047" width="1.08984375" style="2600" customWidth="1"/>
    <col min="12048" max="12048" width="10" style="2600" customWidth="1"/>
    <col min="12049" max="12049" width="1.08984375" style="2600" customWidth="1"/>
    <col min="12050" max="12050" width="9.08984375" style="2600" customWidth="1"/>
    <col min="12051" max="12051" width="1.08984375" style="2600" customWidth="1"/>
    <col min="12052" max="12052" width="7.81640625" style="2600" customWidth="1"/>
    <col min="12053" max="12053" width="1.08984375" style="2600" customWidth="1"/>
    <col min="12054" max="12054" width="0.81640625" style="2600" customWidth="1"/>
    <col min="12055" max="12055" width="9.08984375" style="2600" customWidth="1"/>
    <col min="12056" max="12056" width="1.08984375" style="2600" customWidth="1"/>
    <col min="12057" max="12057" width="0.81640625" style="2600" customWidth="1"/>
    <col min="12058" max="12058" width="9.54296875" style="2600" bestFit="1" customWidth="1"/>
    <col min="12059" max="12060" width="0.81640625" style="2600" customWidth="1"/>
    <col min="12061" max="12061" width="9.81640625" style="2600" customWidth="1"/>
    <col min="12062" max="12062" width="1.08984375" style="2600" customWidth="1"/>
    <col min="12063" max="12063" width="8.54296875" style="2600" customWidth="1"/>
    <col min="12064" max="12064" width="14.54296875" style="2600" customWidth="1"/>
    <col min="12065" max="12065" width="10" style="2600" customWidth="1"/>
    <col min="12066" max="12066" width="7.81640625" style="2600" bestFit="1" customWidth="1"/>
    <col min="12067" max="12067" width="9.81640625" style="2600" customWidth="1"/>
    <col min="12068" max="12284" width="8.81640625" style="2600"/>
    <col min="12285" max="12285" width="38.453125" style="2600" customWidth="1"/>
    <col min="12286" max="12286" width="8.54296875" style="2600" customWidth="1"/>
    <col min="12287" max="12287" width="1.08984375" style="2600" customWidth="1"/>
    <col min="12288" max="12288" width="8.81640625" style="2600" customWidth="1"/>
    <col min="12289" max="12289" width="1.08984375" style="2600" customWidth="1"/>
    <col min="12290" max="12290" width="9.08984375" style="2600" customWidth="1"/>
    <col min="12291" max="12291" width="1.08984375" style="2600" customWidth="1"/>
    <col min="12292" max="12292" width="10" style="2600" customWidth="1"/>
    <col min="12293" max="12293" width="1.08984375" style="2600" customWidth="1"/>
    <col min="12294" max="12294" width="9.08984375" style="2600" customWidth="1"/>
    <col min="12295" max="12295" width="1.08984375" style="2600" customWidth="1"/>
    <col min="12296" max="12296" width="11.08984375" style="2600" customWidth="1"/>
    <col min="12297" max="12297" width="1.08984375" style="2600" customWidth="1"/>
    <col min="12298" max="12298" width="9.08984375" style="2600" customWidth="1"/>
    <col min="12299" max="12299" width="1.81640625" style="2600" customWidth="1"/>
    <col min="12300" max="12300" width="11" style="2600" customWidth="1"/>
    <col min="12301" max="12301" width="1.08984375" style="2600" customWidth="1"/>
    <col min="12302" max="12302" width="10.81640625" style="2600" customWidth="1"/>
    <col min="12303" max="12303" width="1.08984375" style="2600" customWidth="1"/>
    <col min="12304" max="12304" width="10" style="2600" customWidth="1"/>
    <col min="12305" max="12305" width="1.08984375" style="2600" customWidth="1"/>
    <col min="12306" max="12306" width="9.08984375" style="2600" customWidth="1"/>
    <col min="12307" max="12307" width="1.08984375" style="2600" customWidth="1"/>
    <col min="12308" max="12308" width="7.81640625" style="2600" customWidth="1"/>
    <col min="12309" max="12309" width="1.08984375" style="2600" customWidth="1"/>
    <col min="12310" max="12310" width="0.81640625" style="2600" customWidth="1"/>
    <col min="12311" max="12311" width="9.08984375" style="2600" customWidth="1"/>
    <col min="12312" max="12312" width="1.08984375" style="2600" customWidth="1"/>
    <col min="12313" max="12313" width="0.81640625" style="2600" customWidth="1"/>
    <col min="12314" max="12314" width="9.54296875" style="2600" bestFit="1" customWidth="1"/>
    <col min="12315" max="12316" width="0.81640625" style="2600" customWidth="1"/>
    <col min="12317" max="12317" width="9.81640625" style="2600" customWidth="1"/>
    <col min="12318" max="12318" width="1.08984375" style="2600" customWidth="1"/>
    <col min="12319" max="12319" width="8.54296875" style="2600" customWidth="1"/>
    <col min="12320" max="12320" width="14.54296875" style="2600" customWidth="1"/>
    <col min="12321" max="12321" width="10" style="2600" customWidth="1"/>
    <col min="12322" max="12322" width="7.81640625" style="2600" bestFit="1" customWidth="1"/>
    <col min="12323" max="12323" width="9.81640625" style="2600" customWidth="1"/>
    <col min="12324" max="12540" width="8.81640625" style="2600"/>
    <col min="12541" max="12541" width="38.453125" style="2600" customWidth="1"/>
    <col min="12542" max="12542" width="8.54296875" style="2600" customWidth="1"/>
    <col min="12543" max="12543" width="1.08984375" style="2600" customWidth="1"/>
    <col min="12544" max="12544" width="8.81640625" style="2600" customWidth="1"/>
    <col min="12545" max="12545" width="1.08984375" style="2600" customWidth="1"/>
    <col min="12546" max="12546" width="9.08984375" style="2600" customWidth="1"/>
    <col min="12547" max="12547" width="1.08984375" style="2600" customWidth="1"/>
    <col min="12548" max="12548" width="10" style="2600" customWidth="1"/>
    <col min="12549" max="12549" width="1.08984375" style="2600" customWidth="1"/>
    <col min="12550" max="12550" width="9.08984375" style="2600" customWidth="1"/>
    <col min="12551" max="12551" width="1.08984375" style="2600" customWidth="1"/>
    <col min="12552" max="12552" width="11.08984375" style="2600" customWidth="1"/>
    <col min="12553" max="12553" width="1.08984375" style="2600" customWidth="1"/>
    <col min="12554" max="12554" width="9.08984375" style="2600" customWidth="1"/>
    <col min="12555" max="12555" width="1.81640625" style="2600" customWidth="1"/>
    <col min="12556" max="12556" width="11" style="2600" customWidth="1"/>
    <col min="12557" max="12557" width="1.08984375" style="2600" customWidth="1"/>
    <col min="12558" max="12558" width="10.81640625" style="2600" customWidth="1"/>
    <col min="12559" max="12559" width="1.08984375" style="2600" customWidth="1"/>
    <col min="12560" max="12560" width="10" style="2600" customWidth="1"/>
    <col min="12561" max="12561" width="1.08984375" style="2600" customWidth="1"/>
    <col min="12562" max="12562" width="9.08984375" style="2600" customWidth="1"/>
    <col min="12563" max="12563" width="1.08984375" style="2600" customWidth="1"/>
    <col min="12564" max="12564" width="7.81640625" style="2600" customWidth="1"/>
    <col min="12565" max="12565" width="1.08984375" style="2600" customWidth="1"/>
    <col min="12566" max="12566" width="0.81640625" style="2600" customWidth="1"/>
    <col min="12567" max="12567" width="9.08984375" style="2600" customWidth="1"/>
    <col min="12568" max="12568" width="1.08984375" style="2600" customWidth="1"/>
    <col min="12569" max="12569" width="0.81640625" style="2600" customWidth="1"/>
    <col min="12570" max="12570" width="9.54296875" style="2600" bestFit="1" customWidth="1"/>
    <col min="12571" max="12572" width="0.81640625" style="2600" customWidth="1"/>
    <col min="12573" max="12573" width="9.81640625" style="2600" customWidth="1"/>
    <col min="12574" max="12574" width="1.08984375" style="2600" customWidth="1"/>
    <col min="12575" max="12575" width="8.54296875" style="2600" customWidth="1"/>
    <col min="12576" max="12576" width="14.54296875" style="2600" customWidth="1"/>
    <col min="12577" max="12577" width="10" style="2600" customWidth="1"/>
    <col min="12578" max="12578" width="7.81640625" style="2600" bestFit="1" customWidth="1"/>
    <col min="12579" max="12579" width="9.81640625" style="2600" customWidth="1"/>
    <col min="12580" max="12796" width="8.81640625" style="2600"/>
    <col min="12797" max="12797" width="38.453125" style="2600" customWidth="1"/>
    <col min="12798" max="12798" width="8.54296875" style="2600" customWidth="1"/>
    <col min="12799" max="12799" width="1.08984375" style="2600" customWidth="1"/>
    <col min="12800" max="12800" width="8.81640625" style="2600" customWidth="1"/>
    <col min="12801" max="12801" width="1.08984375" style="2600" customWidth="1"/>
    <col min="12802" max="12802" width="9.08984375" style="2600" customWidth="1"/>
    <col min="12803" max="12803" width="1.08984375" style="2600" customWidth="1"/>
    <col min="12804" max="12804" width="10" style="2600" customWidth="1"/>
    <col min="12805" max="12805" width="1.08984375" style="2600" customWidth="1"/>
    <col min="12806" max="12806" width="9.08984375" style="2600" customWidth="1"/>
    <col min="12807" max="12807" width="1.08984375" style="2600" customWidth="1"/>
    <col min="12808" max="12808" width="11.08984375" style="2600" customWidth="1"/>
    <col min="12809" max="12809" width="1.08984375" style="2600" customWidth="1"/>
    <col min="12810" max="12810" width="9.08984375" style="2600" customWidth="1"/>
    <col min="12811" max="12811" width="1.81640625" style="2600" customWidth="1"/>
    <col min="12812" max="12812" width="11" style="2600" customWidth="1"/>
    <col min="12813" max="12813" width="1.08984375" style="2600" customWidth="1"/>
    <col min="12814" max="12814" width="10.81640625" style="2600" customWidth="1"/>
    <col min="12815" max="12815" width="1.08984375" style="2600" customWidth="1"/>
    <col min="12816" max="12816" width="10" style="2600" customWidth="1"/>
    <col min="12817" max="12817" width="1.08984375" style="2600" customWidth="1"/>
    <col min="12818" max="12818" width="9.08984375" style="2600" customWidth="1"/>
    <col min="12819" max="12819" width="1.08984375" style="2600" customWidth="1"/>
    <col min="12820" max="12820" width="7.81640625" style="2600" customWidth="1"/>
    <col min="12821" max="12821" width="1.08984375" style="2600" customWidth="1"/>
    <col min="12822" max="12822" width="0.81640625" style="2600" customWidth="1"/>
    <col min="12823" max="12823" width="9.08984375" style="2600" customWidth="1"/>
    <col min="12824" max="12824" width="1.08984375" style="2600" customWidth="1"/>
    <col min="12825" max="12825" width="0.81640625" style="2600" customWidth="1"/>
    <col min="12826" max="12826" width="9.54296875" style="2600" bestFit="1" customWidth="1"/>
    <col min="12827" max="12828" width="0.81640625" style="2600" customWidth="1"/>
    <col min="12829" max="12829" width="9.81640625" style="2600" customWidth="1"/>
    <col min="12830" max="12830" width="1.08984375" style="2600" customWidth="1"/>
    <col min="12831" max="12831" width="8.54296875" style="2600" customWidth="1"/>
    <col min="12832" max="12832" width="14.54296875" style="2600" customWidth="1"/>
    <col min="12833" max="12833" width="10" style="2600" customWidth="1"/>
    <col min="12834" max="12834" width="7.81640625" style="2600" bestFit="1" customWidth="1"/>
    <col min="12835" max="12835" width="9.81640625" style="2600" customWidth="1"/>
    <col min="12836" max="13052" width="8.81640625" style="2600"/>
    <col min="13053" max="13053" width="38.453125" style="2600" customWidth="1"/>
    <col min="13054" max="13054" width="8.54296875" style="2600" customWidth="1"/>
    <col min="13055" max="13055" width="1.08984375" style="2600" customWidth="1"/>
    <col min="13056" max="13056" width="8.81640625" style="2600" customWidth="1"/>
    <col min="13057" max="13057" width="1.08984375" style="2600" customWidth="1"/>
    <col min="13058" max="13058" width="9.08984375" style="2600" customWidth="1"/>
    <col min="13059" max="13059" width="1.08984375" style="2600" customWidth="1"/>
    <col min="13060" max="13060" width="10" style="2600" customWidth="1"/>
    <col min="13061" max="13061" width="1.08984375" style="2600" customWidth="1"/>
    <col min="13062" max="13062" width="9.08984375" style="2600" customWidth="1"/>
    <col min="13063" max="13063" width="1.08984375" style="2600" customWidth="1"/>
    <col min="13064" max="13064" width="11.08984375" style="2600" customWidth="1"/>
    <col min="13065" max="13065" width="1.08984375" style="2600" customWidth="1"/>
    <col min="13066" max="13066" width="9.08984375" style="2600" customWidth="1"/>
    <col min="13067" max="13067" width="1.81640625" style="2600" customWidth="1"/>
    <col min="13068" max="13068" width="11" style="2600" customWidth="1"/>
    <col min="13069" max="13069" width="1.08984375" style="2600" customWidth="1"/>
    <col min="13070" max="13070" width="10.81640625" style="2600" customWidth="1"/>
    <col min="13071" max="13071" width="1.08984375" style="2600" customWidth="1"/>
    <col min="13072" max="13072" width="10" style="2600" customWidth="1"/>
    <col min="13073" max="13073" width="1.08984375" style="2600" customWidth="1"/>
    <col min="13074" max="13074" width="9.08984375" style="2600" customWidth="1"/>
    <col min="13075" max="13075" width="1.08984375" style="2600" customWidth="1"/>
    <col min="13076" max="13076" width="7.81640625" style="2600" customWidth="1"/>
    <col min="13077" max="13077" width="1.08984375" style="2600" customWidth="1"/>
    <col min="13078" max="13078" width="0.81640625" style="2600" customWidth="1"/>
    <col min="13079" max="13079" width="9.08984375" style="2600" customWidth="1"/>
    <col min="13080" max="13080" width="1.08984375" style="2600" customWidth="1"/>
    <col min="13081" max="13081" width="0.81640625" style="2600" customWidth="1"/>
    <col min="13082" max="13082" width="9.54296875" style="2600" bestFit="1" customWidth="1"/>
    <col min="13083" max="13084" width="0.81640625" style="2600" customWidth="1"/>
    <col min="13085" max="13085" width="9.81640625" style="2600" customWidth="1"/>
    <col min="13086" max="13086" width="1.08984375" style="2600" customWidth="1"/>
    <col min="13087" max="13087" width="8.54296875" style="2600" customWidth="1"/>
    <col min="13088" max="13088" width="14.54296875" style="2600" customWidth="1"/>
    <col min="13089" max="13089" width="10" style="2600" customWidth="1"/>
    <col min="13090" max="13090" width="7.81640625" style="2600" bestFit="1" customWidth="1"/>
    <col min="13091" max="13091" width="9.81640625" style="2600" customWidth="1"/>
    <col min="13092" max="13308" width="8.81640625" style="2600"/>
    <col min="13309" max="13309" width="38.453125" style="2600" customWidth="1"/>
    <col min="13310" max="13310" width="8.54296875" style="2600" customWidth="1"/>
    <col min="13311" max="13311" width="1.08984375" style="2600" customWidth="1"/>
    <col min="13312" max="13312" width="8.81640625" style="2600" customWidth="1"/>
    <col min="13313" max="13313" width="1.08984375" style="2600" customWidth="1"/>
    <col min="13314" max="13314" width="9.08984375" style="2600" customWidth="1"/>
    <col min="13315" max="13315" width="1.08984375" style="2600" customWidth="1"/>
    <col min="13316" max="13316" width="10" style="2600" customWidth="1"/>
    <col min="13317" max="13317" width="1.08984375" style="2600" customWidth="1"/>
    <col min="13318" max="13318" width="9.08984375" style="2600" customWidth="1"/>
    <col min="13319" max="13319" width="1.08984375" style="2600" customWidth="1"/>
    <col min="13320" max="13320" width="11.08984375" style="2600" customWidth="1"/>
    <col min="13321" max="13321" width="1.08984375" style="2600" customWidth="1"/>
    <col min="13322" max="13322" width="9.08984375" style="2600" customWidth="1"/>
    <col min="13323" max="13323" width="1.81640625" style="2600" customWidth="1"/>
    <col min="13324" max="13324" width="11" style="2600" customWidth="1"/>
    <col min="13325" max="13325" width="1.08984375" style="2600" customWidth="1"/>
    <col min="13326" max="13326" width="10.81640625" style="2600" customWidth="1"/>
    <col min="13327" max="13327" width="1.08984375" style="2600" customWidth="1"/>
    <col min="13328" max="13328" width="10" style="2600" customWidth="1"/>
    <col min="13329" max="13329" width="1.08984375" style="2600" customWidth="1"/>
    <col min="13330" max="13330" width="9.08984375" style="2600" customWidth="1"/>
    <col min="13331" max="13331" width="1.08984375" style="2600" customWidth="1"/>
    <col min="13332" max="13332" width="7.81640625" style="2600" customWidth="1"/>
    <col min="13333" max="13333" width="1.08984375" style="2600" customWidth="1"/>
    <col min="13334" max="13334" width="0.81640625" style="2600" customWidth="1"/>
    <col min="13335" max="13335" width="9.08984375" style="2600" customWidth="1"/>
    <col min="13336" max="13336" width="1.08984375" style="2600" customWidth="1"/>
    <col min="13337" max="13337" width="0.81640625" style="2600" customWidth="1"/>
    <col min="13338" max="13338" width="9.54296875" style="2600" bestFit="1" customWidth="1"/>
    <col min="13339" max="13340" width="0.81640625" style="2600" customWidth="1"/>
    <col min="13341" max="13341" width="9.81640625" style="2600" customWidth="1"/>
    <col min="13342" max="13342" width="1.08984375" style="2600" customWidth="1"/>
    <col min="13343" max="13343" width="8.54296875" style="2600" customWidth="1"/>
    <col min="13344" max="13344" width="14.54296875" style="2600" customWidth="1"/>
    <col min="13345" max="13345" width="10" style="2600" customWidth="1"/>
    <col min="13346" max="13346" width="7.81640625" style="2600" bestFit="1" customWidth="1"/>
    <col min="13347" max="13347" width="9.81640625" style="2600" customWidth="1"/>
    <col min="13348" max="13564" width="8.81640625" style="2600"/>
    <col min="13565" max="13565" width="38.453125" style="2600" customWidth="1"/>
    <col min="13566" max="13566" width="8.54296875" style="2600" customWidth="1"/>
    <col min="13567" max="13567" width="1.08984375" style="2600" customWidth="1"/>
    <col min="13568" max="13568" width="8.81640625" style="2600" customWidth="1"/>
    <col min="13569" max="13569" width="1.08984375" style="2600" customWidth="1"/>
    <col min="13570" max="13570" width="9.08984375" style="2600" customWidth="1"/>
    <col min="13571" max="13571" width="1.08984375" style="2600" customWidth="1"/>
    <col min="13572" max="13572" width="10" style="2600" customWidth="1"/>
    <col min="13573" max="13573" width="1.08984375" style="2600" customWidth="1"/>
    <col min="13574" max="13574" width="9.08984375" style="2600" customWidth="1"/>
    <col min="13575" max="13575" width="1.08984375" style="2600" customWidth="1"/>
    <col min="13576" max="13576" width="11.08984375" style="2600" customWidth="1"/>
    <col min="13577" max="13577" width="1.08984375" style="2600" customWidth="1"/>
    <col min="13578" max="13578" width="9.08984375" style="2600" customWidth="1"/>
    <col min="13579" max="13579" width="1.81640625" style="2600" customWidth="1"/>
    <col min="13580" max="13580" width="11" style="2600" customWidth="1"/>
    <col min="13581" max="13581" width="1.08984375" style="2600" customWidth="1"/>
    <col min="13582" max="13582" width="10.81640625" style="2600" customWidth="1"/>
    <col min="13583" max="13583" width="1.08984375" style="2600" customWidth="1"/>
    <col min="13584" max="13584" width="10" style="2600" customWidth="1"/>
    <col min="13585" max="13585" width="1.08984375" style="2600" customWidth="1"/>
    <col min="13586" max="13586" width="9.08984375" style="2600" customWidth="1"/>
    <col min="13587" max="13587" width="1.08984375" style="2600" customWidth="1"/>
    <col min="13588" max="13588" width="7.81640625" style="2600" customWidth="1"/>
    <col min="13589" max="13589" width="1.08984375" style="2600" customWidth="1"/>
    <col min="13590" max="13590" width="0.81640625" style="2600" customWidth="1"/>
    <col min="13591" max="13591" width="9.08984375" style="2600" customWidth="1"/>
    <col min="13592" max="13592" width="1.08984375" style="2600" customWidth="1"/>
    <col min="13593" max="13593" width="0.81640625" style="2600" customWidth="1"/>
    <col min="13594" max="13594" width="9.54296875" style="2600" bestFit="1" customWidth="1"/>
    <col min="13595" max="13596" width="0.81640625" style="2600" customWidth="1"/>
    <col min="13597" max="13597" width="9.81640625" style="2600" customWidth="1"/>
    <col min="13598" max="13598" width="1.08984375" style="2600" customWidth="1"/>
    <col min="13599" max="13599" width="8.54296875" style="2600" customWidth="1"/>
    <col min="13600" max="13600" width="14.54296875" style="2600" customWidth="1"/>
    <col min="13601" max="13601" width="10" style="2600" customWidth="1"/>
    <col min="13602" max="13602" width="7.81640625" style="2600" bestFit="1" customWidth="1"/>
    <col min="13603" max="13603" width="9.81640625" style="2600" customWidth="1"/>
    <col min="13604" max="13820" width="8.81640625" style="2600"/>
    <col min="13821" max="13821" width="38.453125" style="2600" customWidth="1"/>
    <col min="13822" max="13822" width="8.54296875" style="2600" customWidth="1"/>
    <col min="13823" max="13823" width="1.08984375" style="2600" customWidth="1"/>
    <col min="13824" max="13824" width="8.81640625" style="2600" customWidth="1"/>
    <col min="13825" max="13825" width="1.08984375" style="2600" customWidth="1"/>
    <col min="13826" max="13826" width="9.08984375" style="2600" customWidth="1"/>
    <col min="13827" max="13827" width="1.08984375" style="2600" customWidth="1"/>
    <col min="13828" max="13828" width="10" style="2600" customWidth="1"/>
    <col min="13829" max="13829" width="1.08984375" style="2600" customWidth="1"/>
    <col min="13830" max="13830" width="9.08984375" style="2600" customWidth="1"/>
    <col min="13831" max="13831" width="1.08984375" style="2600" customWidth="1"/>
    <col min="13832" max="13832" width="11.08984375" style="2600" customWidth="1"/>
    <col min="13833" max="13833" width="1.08984375" style="2600" customWidth="1"/>
    <col min="13834" max="13834" width="9.08984375" style="2600" customWidth="1"/>
    <col min="13835" max="13835" width="1.81640625" style="2600" customWidth="1"/>
    <col min="13836" max="13836" width="11" style="2600" customWidth="1"/>
    <col min="13837" max="13837" width="1.08984375" style="2600" customWidth="1"/>
    <col min="13838" max="13838" width="10.81640625" style="2600" customWidth="1"/>
    <col min="13839" max="13839" width="1.08984375" style="2600" customWidth="1"/>
    <col min="13840" max="13840" width="10" style="2600" customWidth="1"/>
    <col min="13841" max="13841" width="1.08984375" style="2600" customWidth="1"/>
    <col min="13842" max="13842" width="9.08984375" style="2600" customWidth="1"/>
    <col min="13843" max="13843" width="1.08984375" style="2600" customWidth="1"/>
    <col min="13844" max="13844" width="7.81640625" style="2600" customWidth="1"/>
    <col min="13845" max="13845" width="1.08984375" style="2600" customWidth="1"/>
    <col min="13846" max="13846" width="0.81640625" style="2600" customWidth="1"/>
    <col min="13847" max="13847" width="9.08984375" style="2600" customWidth="1"/>
    <col min="13848" max="13848" width="1.08984375" style="2600" customWidth="1"/>
    <col min="13849" max="13849" width="0.81640625" style="2600" customWidth="1"/>
    <col min="13850" max="13850" width="9.54296875" style="2600" bestFit="1" customWidth="1"/>
    <col min="13851" max="13852" width="0.81640625" style="2600" customWidth="1"/>
    <col min="13853" max="13853" width="9.81640625" style="2600" customWidth="1"/>
    <col min="13854" max="13854" width="1.08984375" style="2600" customWidth="1"/>
    <col min="13855" max="13855" width="8.54296875" style="2600" customWidth="1"/>
    <col min="13856" max="13856" width="14.54296875" style="2600" customWidth="1"/>
    <col min="13857" max="13857" width="10" style="2600" customWidth="1"/>
    <col min="13858" max="13858" width="7.81640625" style="2600" bestFit="1" customWidth="1"/>
    <col min="13859" max="13859" width="9.81640625" style="2600" customWidth="1"/>
    <col min="13860" max="14076" width="8.81640625" style="2600"/>
    <col min="14077" max="14077" width="38.453125" style="2600" customWidth="1"/>
    <col min="14078" max="14078" width="8.54296875" style="2600" customWidth="1"/>
    <col min="14079" max="14079" width="1.08984375" style="2600" customWidth="1"/>
    <col min="14080" max="14080" width="8.81640625" style="2600" customWidth="1"/>
    <col min="14081" max="14081" width="1.08984375" style="2600" customWidth="1"/>
    <col min="14082" max="14082" width="9.08984375" style="2600" customWidth="1"/>
    <col min="14083" max="14083" width="1.08984375" style="2600" customWidth="1"/>
    <col min="14084" max="14084" width="10" style="2600" customWidth="1"/>
    <col min="14085" max="14085" width="1.08984375" style="2600" customWidth="1"/>
    <col min="14086" max="14086" width="9.08984375" style="2600" customWidth="1"/>
    <col min="14087" max="14087" width="1.08984375" style="2600" customWidth="1"/>
    <col min="14088" max="14088" width="11.08984375" style="2600" customWidth="1"/>
    <col min="14089" max="14089" width="1.08984375" style="2600" customWidth="1"/>
    <col min="14090" max="14090" width="9.08984375" style="2600" customWidth="1"/>
    <col min="14091" max="14091" width="1.81640625" style="2600" customWidth="1"/>
    <col min="14092" max="14092" width="11" style="2600" customWidth="1"/>
    <col min="14093" max="14093" width="1.08984375" style="2600" customWidth="1"/>
    <col min="14094" max="14094" width="10.81640625" style="2600" customWidth="1"/>
    <col min="14095" max="14095" width="1.08984375" style="2600" customWidth="1"/>
    <col min="14096" max="14096" width="10" style="2600" customWidth="1"/>
    <col min="14097" max="14097" width="1.08984375" style="2600" customWidth="1"/>
    <col min="14098" max="14098" width="9.08984375" style="2600" customWidth="1"/>
    <col min="14099" max="14099" width="1.08984375" style="2600" customWidth="1"/>
    <col min="14100" max="14100" width="7.81640625" style="2600" customWidth="1"/>
    <col min="14101" max="14101" width="1.08984375" style="2600" customWidth="1"/>
    <col min="14102" max="14102" width="0.81640625" style="2600" customWidth="1"/>
    <col min="14103" max="14103" width="9.08984375" style="2600" customWidth="1"/>
    <col min="14104" max="14104" width="1.08984375" style="2600" customWidth="1"/>
    <col min="14105" max="14105" width="0.81640625" style="2600" customWidth="1"/>
    <col min="14106" max="14106" width="9.54296875" style="2600" bestFit="1" customWidth="1"/>
    <col min="14107" max="14108" width="0.81640625" style="2600" customWidth="1"/>
    <col min="14109" max="14109" width="9.81640625" style="2600" customWidth="1"/>
    <col min="14110" max="14110" width="1.08984375" style="2600" customWidth="1"/>
    <col min="14111" max="14111" width="8.54296875" style="2600" customWidth="1"/>
    <col min="14112" max="14112" width="14.54296875" style="2600" customWidth="1"/>
    <col min="14113" max="14113" width="10" style="2600" customWidth="1"/>
    <col min="14114" max="14114" width="7.81640625" style="2600" bestFit="1" customWidth="1"/>
    <col min="14115" max="14115" width="9.81640625" style="2600" customWidth="1"/>
    <col min="14116" max="14332" width="8.81640625" style="2600"/>
    <col min="14333" max="14333" width="38.453125" style="2600" customWidth="1"/>
    <col min="14334" max="14334" width="8.54296875" style="2600" customWidth="1"/>
    <col min="14335" max="14335" width="1.08984375" style="2600" customWidth="1"/>
    <col min="14336" max="14336" width="8.81640625" style="2600" customWidth="1"/>
    <col min="14337" max="14337" width="1.08984375" style="2600" customWidth="1"/>
    <col min="14338" max="14338" width="9.08984375" style="2600" customWidth="1"/>
    <col min="14339" max="14339" width="1.08984375" style="2600" customWidth="1"/>
    <col min="14340" max="14340" width="10" style="2600" customWidth="1"/>
    <col min="14341" max="14341" width="1.08984375" style="2600" customWidth="1"/>
    <col min="14342" max="14342" width="9.08984375" style="2600" customWidth="1"/>
    <col min="14343" max="14343" width="1.08984375" style="2600" customWidth="1"/>
    <col min="14344" max="14344" width="11.08984375" style="2600" customWidth="1"/>
    <col min="14345" max="14345" width="1.08984375" style="2600" customWidth="1"/>
    <col min="14346" max="14346" width="9.08984375" style="2600" customWidth="1"/>
    <col min="14347" max="14347" width="1.81640625" style="2600" customWidth="1"/>
    <col min="14348" max="14348" width="11" style="2600" customWidth="1"/>
    <col min="14349" max="14349" width="1.08984375" style="2600" customWidth="1"/>
    <col min="14350" max="14350" width="10.81640625" style="2600" customWidth="1"/>
    <col min="14351" max="14351" width="1.08984375" style="2600" customWidth="1"/>
    <col min="14352" max="14352" width="10" style="2600" customWidth="1"/>
    <col min="14353" max="14353" width="1.08984375" style="2600" customWidth="1"/>
    <col min="14354" max="14354" width="9.08984375" style="2600" customWidth="1"/>
    <col min="14355" max="14355" width="1.08984375" style="2600" customWidth="1"/>
    <col min="14356" max="14356" width="7.81640625" style="2600" customWidth="1"/>
    <col min="14357" max="14357" width="1.08984375" style="2600" customWidth="1"/>
    <col min="14358" max="14358" width="0.81640625" style="2600" customWidth="1"/>
    <col min="14359" max="14359" width="9.08984375" style="2600" customWidth="1"/>
    <col min="14360" max="14360" width="1.08984375" style="2600" customWidth="1"/>
    <col min="14361" max="14361" width="0.81640625" style="2600" customWidth="1"/>
    <col min="14362" max="14362" width="9.54296875" style="2600" bestFit="1" customWidth="1"/>
    <col min="14363" max="14364" width="0.81640625" style="2600" customWidth="1"/>
    <col min="14365" max="14365" width="9.81640625" style="2600" customWidth="1"/>
    <col min="14366" max="14366" width="1.08984375" style="2600" customWidth="1"/>
    <col min="14367" max="14367" width="8.54296875" style="2600" customWidth="1"/>
    <col min="14368" max="14368" width="14.54296875" style="2600" customWidth="1"/>
    <col min="14369" max="14369" width="10" style="2600" customWidth="1"/>
    <col min="14370" max="14370" width="7.81640625" style="2600" bestFit="1" customWidth="1"/>
    <col min="14371" max="14371" width="9.81640625" style="2600" customWidth="1"/>
    <col min="14372" max="14588" width="8.81640625" style="2600"/>
    <col min="14589" max="14589" width="38.453125" style="2600" customWidth="1"/>
    <col min="14590" max="14590" width="8.54296875" style="2600" customWidth="1"/>
    <col min="14591" max="14591" width="1.08984375" style="2600" customWidth="1"/>
    <col min="14592" max="14592" width="8.81640625" style="2600" customWidth="1"/>
    <col min="14593" max="14593" width="1.08984375" style="2600" customWidth="1"/>
    <col min="14594" max="14594" width="9.08984375" style="2600" customWidth="1"/>
    <col min="14595" max="14595" width="1.08984375" style="2600" customWidth="1"/>
    <col min="14596" max="14596" width="10" style="2600" customWidth="1"/>
    <col min="14597" max="14597" width="1.08984375" style="2600" customWidth="1"/>
    <col min="14598" max="14598" width="9.08984375" style="2600" customWidth="1"/>
    <col min="14599" max="14599" width="1.08984375" style="2600" customWidth="1"/>
    <col min="14600" max="14600" width="11.08984375" style="2600" customWidth="1"/>
    <col min="14601" max="14601" width="1.08984375" style="2600" customWidth="1"/>
    <col min="14602" max="14602" width="9.08984375" style="2600" customWidth="1"/>
    <col min="14603" max="14603" width="1.81640625" style="2600" customWidth="1"/>
    <col min="14604" max="14604" width="11" style="2600" customWidth="1"/>
    <col min="14605" max="14605" width="1.08984375" style="2600" customWidth="1"/>
    <col min="14606" max="14606" width="10.81640625" style="2600" customWidth="1"/>
    <col min="14607" max="14607" width="1.08984375" style="2600" customWidth="1"/>
    <col min="14608" max="14608" width="10" style="2600" customWidth="1"/>
    <col min="14609" max="14609" width="1.08984375" style="2600" customWidth="1"/>
    <col min="14610" max="14610" width="9.08984375" style="2600" customWidth="1"/>
    <col min="14611" max="14611" width="1.08984375" style="2600" customWidth="1"/>
    <col min="14612" max="14612" width="7.81640625" style="2600" customWidth="1"/>
    <col min="14613" max="14613" width="1.08984375" style="2600" customWidth="1"/>
    <col min="14614" max="14614" width="0.81640625" style="2600" customWidth="1"/>
    <col min="14615" max="14615" width="9.08984375" style="2600" customWidth="1"/>
    <col min="14616" max="14616" width="1.08984375" style="2600" customWidth="1"/>
    <col min="14617" max="14617" width="0.81640625" style="2600" customWidth="1"/>
    <col min="14618" max="14618" width="9.54296875" style="2600" bestFit="1" customWidth="1"/>
    <col min="14619" max="14620" width="0.81640625" style="2600" customWidth="1"/>
    <col min="14621" max="14621" width="9.81640625" style="2600" customWidth="1"/>
    <col min="14622" max="14622" width="1.08984375" style="2600" customWidth="1"/>
    <col min="14623" max="14623" width="8.54296875" style="2600" customWidth="1"/>
    <col min="14624" max="14624" width="14.54296875" style="2600" customWidth="1"/>
    <col min="14625" max="14625" width="10" style="2600" customWidth="1"/>
    <col min="14626" max="14626" width="7.81640625" style="2600" bestFit="1" customWidth="1"/>
    <col min="14627" max="14627" width="9.81640625" style="2600" customWidth="1"/>
    <col min="14628" max="14844" width="8.81640625" style="2600"/>
    <col min="14845" max="14845" width="38.453125" style="2600" customWidth="1"/>
    <col min="14846" max="14846" width="8.54296875" style="2600" customWidth="1"/>
    <col min="14847" max="14847" width="1.08984375" style="2600" customWidth="1"/>
    <col min="14848" max="14848" width="8.81640625" style="2600" customWidth="1"/>
    <col min="14849" max="14849" width="1.08984375" style="2600" customWidth="1"/>
    <col min="14850" max="14850" width="9.08984375" style="2600" customWidth="1"/>
    <col min="14851" max="14851" width="1.08984375" style="2600" customWidth="1"/>
    <col min="14852" max="14852" width="10" style="2600" customWidth="1"/>
    <col min="14853" max="14853" width="1.08984375" style="2600" customWidth="1"/>
    <col min="14854" max="14854" width="9.08984375" style="2600" customWidth="1"/>
    <col min="14855" max="14855" width="1.08984375" style="2600" customWidth="1"/>
    <col min="14856" max="14856" width="11.08984375" style="2600" customWidth="1"/>
    <col min="14857" max="14857" width="1.08984375" style="2600" customWidth="1"/>
    <col min="14858" max="14858" width="9.08984375" style="2600" customWidth="1"/>
    <col min="14859" max="14859" width="1.81640625" style="2600" customWidth="1"/>
    <col min="14860" max="14860" width="11" style="2600" customWidth="1"/>
    <col min="14861" max="14861" width="1.08984375" style="2600" customWidth="1"/>
    <col min="14862" max="14862" width="10.81640625" style="2600" customWidth="1"/>
    <col min="14863" max="14863" width="1.08984375" style="2600" customWidth="1"/>
    <col min="14864" max="14864" width="10" style="2600" customWidth="1"/>
    <col min="14865" max="14865" width="1.08984375" style="2600" customWidth="1"/>
    <col min="14866" max="14866" width="9.08984375" style="2600" customWidth="1"/>
    <col min="14867" max="14867" width="1.08984375" style="2600" customWidth="1"/>
    <col min="14868" max="14868" width="7.81640625" style="2600" customWidth="1"/>
    <col min="14869" max="14869" width="1.08984375" style="2600" customWidth="1"/>
    <col min="14870" max="14870" width="0.81640625" style="2600" customWidth="1"/>
    <col min="14871" max="14871" width="9.08984375" style="2600" customWidth="1"/>
    <col min="14872" max="14872" width="1.08984375" style="2600" customWidth="1"/>
    <col min="14873" max="14873" width="0.81640625" style="2600" customWidth="1"/>
    <col min="14874" max="14874" width="9.54296875" style="2600" bestFit="1" customWidth="1"/>
    <col min="14875" max="14876" width="0.81640625" style="2600" customWidth="1"/>
    <col min="14877" max="14877" width="9.81640625" style="2600" customWidth="1"/>
    <col min="14878" max="14878" width="1.08984375" style="2600" customWidth="1"/>
    <col min="14879" max="14879" width="8.54296875" style="2600" customWidth="1"/>
    <col min="14880" max="14880" width="14.54296875" style="2600" customWidth="1"/>
    <col min="14881" max="14881" width="10" style="2600" customWidth="1"/>
    <col min="14882" max="14882" width="7.81640625" style="2600" bestFit="1" customWidth="1"/>
    <col min="14883" max="14883" width="9.81640625" style="2600" customWidth="1"/>
    <col min="14884" max="15100" width="8.81640625" style="2600"/>
    <col min="15101" max="15101" width="38.453125" style="2600" customWidth="1"/>
    <col min="15102" max="15102" width="8.54296875" style="2600" customWidth="1"/>
    <col min="15103" max="15103" width="1.08984375" style="2600" customWidth="1"/>
    <col min="15104" max="15104" width="8.81640625" style="2600" customWidth="1"/>
    <col min="15105" max="15105" width="1.08984375" style="2600" customWidth="1"/>
    <col min="15106" max="15106" width="9.08984375" style="2600" customWidth="1"/>
    <col min="15107" max="15107" width="1.08984375" style="2600" customWidth="1"/>
    <col min="15108" max="15108" width="10" style="2600" customWidth="1"/>
    <col min="15109" max="15109" width="1.08984375" style="2600" customWidth="1"/>
    <col min="15110" max="15110" width="9.08984375" style="2600" customWidth="1"/>
    <col min="15111" max="15111" width="1.08984375" style="2600" customWidth="1"/>
    <col min="15112" max="15112" width="11.08984375" style="2600" customWidth="1"/>
    <col min="15113" max="15113" width="1.08984375" style="2600" customWidth="1"/>
    <col min="15114" max="15114" width="9.08984375" style="2600" customWidth="1"/>
    <col min="15115" max="15115" width="1.81640625" style="2600" customWidth="1"/>
    <col min="15116" max="15116" width="11" style="2600" customWidth="1"/>
    <col min="15117" max="15117" width="1.08984375" style="2600" customWidth="1"/>
    <col min="15118" max="15118" width="10.81640625" style="2600" customWidth="1"/>
    <col min="15119" max="15119" width="1.08984375" style="2600" customWidth="1"/>
    <col min="15120" max="15120" width="10" style="2600" customWidth="1"/>
    <col min="15121" max="15121" width="1.08984375" style="2600" customWidth="1"/>
    <col min="15122" max="15122" width="9.08984375" style="2600" customWidth="1"/>
    <col min="15123" max="15123" width="1.08984375" style="2600" customWidth="1"/>
    <col min="15124" max="15124" width="7.81640625" style="2600" customWidth="1"/>
    <col min="15125" max="15125" width="1.08984375" style="2600" customWidth="1"/>
    <col min="15126" max="15126" width="0.81640625" style="2600" customWidth="1"/>
    <col min="15127" max="15127" width="9.08984375" style="2600" customWidth="1"/>
    <col min="15128" max="15128" width="1.08984375" style="2600" customWidth="1"/>
    <col min="15129" max="15129" width="0.81640625" style="2600" customWidth="1"/>
    <col min="15130" max="15130" width="9.54296875" style="2600" bestFit="1" customWidth="1"/>
    <col min="15131" max="15132" width="0.81640625" style="2600" customWidth="1"/>
    <col min="15133" max="15133" width="9.81640625" style="2600" customWidth="1"/>
    <col min="15134" max="15134" width="1.08984375" style="2600" customWidth="1"/>
    <col min="15135" max="15135" width="8.54296875" style="2600" customWidth="1"/>
    <col min="15136" max="15136" width="14.54296875" style="2600" customWidth="1"/>
    <col min="15137" max="15137" width="10" style="2600" customWidth="1"/>
    <col min="15138" max="15138" width="7.81640625" style="2600" bestFit="1" customWidth="1"/>
    <col min="15139" max="15139" width="9.81640625" style="2600" customWidth="1"/>
    <col min="15140" max="15356" width="8.81640625" style="2600"/>
    <col min="15357" max="15357" width="38.453125" style="2600" customWidth="1"/>
    <col min="15358" max="15358" width="8.54296875" style="2600" customWidth="1"/>
    <col min="15359" max="15359" width="1.08984375" style="2600" customWidth="1"/>
    <col min="15360" max="15360" width="8.81640625" style="2600" customWidth="1"/>
    <col min="15361" max="15361" width="1.08984375" style="2600" customWidth="1"/>
    <col min="15362" max="15362" width="9.08984375" style="2600" customWidth="1"/>
    <col min="15363" max="15363" width="1.08984375" style="2600" customWidth="1"/>
    <col min="15364" max="15364" width="10" style="2600" customWidth="1"/>
    <col min="15365" max="15365" width="1.08984375" style="2600" customWidth="1"/>
    <col min="15366" max="15366" width="9.08984375" style="2600" customWidth="1"/>
    <col min="15367" max="15367" width="1.08984375" style="2600" customWidth="1"/>
    <col min="15368" max="15368" width="11.08984375" style="2600" customWidth="1"/>
    <col min="15369" max="15369" width="1.08984375" style="2600" customWidth="1"/>
    <col min="15370" max="15370" width="9.08984375" style="2600" customWidth="1"/>
    <col min="15371" max="15371" width="1.81640625" style="2600" customWidth="1"/>
    <col min="15372" max="15372" width="11" style="2600" customWidth="1"/>
    <col min="15373" max="15373" width="1.08984375" style="2600" customWidth="1"/>
    <col min="15374" max="15374" width="10.81640625" style="2600" customWidth="1"/>
    <col min="15375" max="15375" width="1.08984375" style="2600" customWidth="1"/>
    <col min="15376" max="15376" width="10" style="2600" customWidth="1"/>
    <col min="15377" max="15377" width="1.08984375" style="2600" customWidth="1"/>
    <col min="15378" max="15378" width="9.08984375" style="2600" customWidth="1"/>
    <col min="15379" max="15379" width="1.08984375" style="2600" customWidth="1"/>
    <col min="15380" max="15380" width="7.81640625" style="2600" customWidth="1"/>
    <col min="15381" max="15381" width="1.08984375" style="2600" customWidth="1"/>
    <col min="15382" max="15382" width="0.81640625" style="2600" customWidth="1"/>
    <col min="15383" max="15383" width="9.08984375" style="2600" customWidth="1"/>
    <col min="15384" max="15384" width="1.08984375" style="2600" customWidth="1"/>
    <col min="15385" max="15385" width="0.81640625" style="2600" customWidth="1"/>
    <col min="15386" max="15386" width="9.54296875" style="2600" bestFit="1" customWidth="1"/>
    <col min="15387" max="15388" width="0.81640625" style="2600" customWidth="1"/>
    <col min="15389" max="15389" width="9.81640625" style="2600" customWidth="1"/>
    <col min="15390" max="15390" width="1.08984375" style="2600" customWidth="1"/>
    <col min="15391" max="15391" width="8.54296875" style="2600" customWidth="1"/>
    <col min="15392" max="15392" width="14.54296875" style="2600" customWidth="1"/>
    <col min="15393" max="15393" width="10" style="2600" customWidth="1"/>
    <col min="15394" max="15394" width="7.81640625" style="2600" bestFit="1" customWidth="1"/>
    <col min="15395" max="15395" width="9.81640625" style="2600" customWidth="1"/>
    <col min="15396" max="15612" width="8.81640625" style="2600"/>
    <col min="15613" max="15613" width="38.453125" style="2600" customWidth="1"/>
    <col min="15614" max="15614" width="8.54296875" style="2600" customWidth="1"/>
    <col min="15615" max="15615" width="1.08984375" style="2600" customWidth="1"/>
    <col min="15616" max="15616" width="8.81640625" style="2600" customWidth="1"/>
    <col min="15617" max="15617" width="1.08984375" style="2600" customWidth="1"/>
    <col min="15618" max="15618" width="9.08984375" style="2600" customWidth="1"/>
    <col min="15619" max="15619" width="1.08984375" style="2600" customWidth="1"/>
    <col min="15620" max="15620" width="10" style="2600" customWidth="1"/>
    <col min="15621" max="15621" width="1.08984375" style="2600" customWidth="1"/>
    <col min="15622" max="15622" width="9.08984375" style="2600" customWidth="1"/>
    <col min="15623" max="15623" width="1.08984375" style="2600" customWidth="1"/>
    <col min="15624" max="15624" width="11.08984375" style="2600" customWidth="1"/>
    <col min="15625" max="15625" width="1.08984375" style="2600" customWidth="1"/>
    <col min="15626" max="15626" width="9.08984375" style="2600" customWidth="1"/>
    <col min="15627" max="15627" width="1.81640625" style="2600" customWidth="1"/>
    <col min="15628" max="15628" width="11" style="2600" customWidth="1"/>
    <col min="15629" max="15629" width="1.08984375" style="2600" customWidth="1"/>
    <col min="15630" max="15630" width="10.81640625" style="2600" customWidth="1"/>
    <col min="15631" max="15631" width="1.08984375" style="2600" customWidth="1"/>
    <col min="15632" max="15632" width="10" style="2600" customWidth="1"/>
    <col min="15633" max="15633" width="1.08984375" style="2600" customWidth="1"/>
    <col min="15634" max="15634" width="9.08984375" style="2600" customWidth="1"/>
    <col min="15635" max="15635" width="1.08984375" style="2600" customWidth="1"/>
    <col min="15636" max="15636" width="7.81640625" style="2600" customWidth="1"/>
    <col min="15637" max="15637" width="1.08984375" style="2600" customWidth="1"/>
    <col min="15638" max="15638" width="0.81640625" style="2600" customWidth="1"/>
    <col min="15639" max="15639" width="9.08984375" style="2600" customWidth="1"/>
    <col min="15640" max="15640" width="1.08984375" style="2600" customWidth="1"/>
    <col min="15641" max="15641" width="0.81640625" style="2600" customWidth="1"/>
    <col min="15642" max="15642" width="9.54296875" style="2600" bestFit="1" customWidth="1"/>
    <col min="15643" max="15644" width="0.81640625" style="2600" customWidth="1"/>
    <col min="15645" max="15645" width="9.81640625" style="2600" customWidth="1"/>
    <col min="15646" max="15646" width="1.08984375" style="2600" customWidth="1"/>
    <col min="15647" max="15647" width="8.54296875" style="2600" customWidth="1"/>
    <col min="15648" max="15648" width="14.54296875" style="2600" customWidth="1"/>
    <col min="15649" max="15649" width="10" style="2600" customWidth="1"/>
    <col min="15650" max="15650" width="7.81640625" style="2600" bestFit="1" customWidth="1"/>
    <col min="15651" max="15651" width="9.81640625" style="2600" customWidth="1"/>
    <col min="15652" max="15868" width="8.81640625" style="2600"/>
    <col min="15869" max="15869" width="38.453125" style="2600" customWidth="1"/>
    <col min="15870" max="15870" width="8.54296875" style="2600" customWidth="1"/>
    <col min="15871" max="15871" width="1.08984375" style="2600" customWidth="1"/>
    <col min="15872" max="15872" width="8.81640625" style="2600" customWidth="1"/>
    <col min="15873" max="15873" width="1.08984375" style="2600" customWidth="1"/>
    <col min="15874" max="15874" width="9.08984375" style="2600" customWidth="1"/>
    <col min="15875" max="15875" width="1.08984375" style="2600" customWidth="1"/>
    <col min="15876" max="15876" width="10" style="2600" customWidth="1"/>
    <col min="15877" max="15877" width="1.08984375" style="2600" customWidth="1"/>
    <col min="15878" max="15878" width="9.08984375" style="2600" customWidth="1"/>
    <col min="15879" max="15879" width="1.08984375" style="2600" customWidth="1"/>
    <col min="15880" max="15880" width="11.08984375" style="2600" customWidth="1"/>
    <col min="15881" max="15881" width="1.08984375" style="2600" customWidth="1"/>
    <col min="15882" max="15882" width="9.08984375" style="2600" customWidth="1"/>
    <col min="15883" max="15883" width="1.81640625" style="2600" customWidth="1"/>
    <col min="15884" max="15884" width="11" style="2600" customWidth="1"/>
    <col min="15885" max="15885" width="1.08984375" style="2600" customWidth="1"/>
    <col min="15886" max="15886" width="10.81640625" style="2600" customWidth="1"/>
    <col min="15887" max="15887" width="1.08984375" style="2600" customWidth="1"/>
    <col min="15888" max="15888" width="10" style="2600" customWidth="1"/>
    <col min="15889" max="15889" width="1.08984375" style="2600" customWidth="1"/>
    <col min="15890" max="15890" width="9.08984375" style="2600" customWidth="1"/>
    <col min="15891" max="15891" width="1.08984375" style="2600" customWidth="1"/>
    <col min="15892" max="15892" width="7.81640625" style="2600" customWidth="1"/>
    <col min="15893" max="15893" width="1.08984375" style="2600" customWidth="1"/>
    <col min="15894" max="15894" width="0.81640625" style="2600" customWidth="1"/>
    <col min="15895" max="15895" width="9.08984375" style="2600" customWidth="1"/>
    <col min="15896" max="15896" width="1.08984375" style="2600" customWidth="1"/>
    <col min="15897" max="15897" width="0.81640625" style="2600" customWidth="1"/>
    <col min="15898" max="15898" width="9.54296875" style="2600" bestFit="1" customWidth="1"/>
    <col min="15899" max="15900" width="0.81640625" style="2600" customWidth="1"/>
    <col min="15901" max="15901" width="9.81640625" style="2600" customWidth="1"/>
    <col min="15902" max="15902" width="1.08984375" style="2600" customWidth="1"/>
    <col min="15903" max="15903" width="8.54296875" style="2600" customWidth="1"/>
    <col min="15904" max="15904" width="14.54296875" style="2600" customWidth="1"/>
    <col min="15905" max="15905" width="10" style="2600" customWidth="1"/>
    <col min="15906" max="15906" width="7.81640625" style="2600" bestFit="1" customWidth="1"/>
    <col min="15907" max="15907" width="9.81640625" style="2600" customWidth="1"/>
    <col min="15908" max="16124" width="8.81640625" style="2600"/>
    <col min="16125" max="16125" width="38.453125" style="2600" customWidth="1"/>
    <col min="16126" max="16126" width="8.54296875" style="2600" customWidth="1"/>
    <col min="16127" max="16127" width="1.08984375" style="2600" customWidth="1"/>
    <col min="16128" max="16128" width="8.81640625" style="2600" customWidth="1"/>
    <col min="16129" max="16129" width="1.08984375" style="2600" customWidth="1"/>
    <col min="16130" max="16130" width="9.08984375" style="2600" customWidth="1"/>
    <col min="16131" max="16131" width="1.08984375" style="2600" customWidth="1"/>
    <col min="16132" max="16132" width="10" style="2600" customWidth="1"/>
    <col min="16133" max="16133" width="1.08984375" style="2600" customWidth="1"/>
    <col min="16134" max="16134" width="9.08984375" style="2600" customWidth="1"/>
    <col min="16135" max="16135" width="1.08984375" style="2600" customWidth="1"/>
    <col min="16136" max="16136" width="11.08984375" style="2600" customWidth="1"/>
    <col min="16137" max="16137" width="1.08984375" style="2600" customWidth="1"/>
    <col min="16138" max="16138" width="9.08984375" style="2600" customWidth="1"/>
    <col min="16139" max="16139" width="1.81640625" style="2600" customWidth="1"/>
    <col min="16140" max="16140" width="11" style="2600" customWidth="1"/>
    <col min="16141" max="16141" width="1.08984375" style="2600" customWidth="1"/>
    <col min="16142" max="16142" width="10.81640625" style="2600" customWidth="1"/>
    <col min="16143" max="16143" width="1.08984375" style="2600" customWidth="1"/>
    <col min="16144" max="16144" width="10" style="2600" customWidth="1"/>
    <col min="16145" max="16145" width="1.08984375" style="2600" customWidth="1"/>
    <col min="16146" max="16146" width="9.08984375" style="2600" customWidth="1"/>
    <col min="16147" max="16147" width="1.08984375" style="2600" customWidth="1"/>
    <col min="16148" max="16148" width="7.81640625" style="2600" customWidth="1"/>
    <col min="16149" max="16149" width="1.08984375" style="2600" customWidth="1"/>
    <col min="16150" max="16150" width="0.81640625" style="2600" customWidth="1"/>
    <col min="16151" max="16151" width="9.08984375" style="2600" customWidth="1"/>
    <col min="16152" max="16152" width="1.08984375" style="2600" customWidth="1"/>
    <col min="16153" max="16153" width="0.81640625" style="2600" customWidth="1"/>
    <col min="16154" max="16154" width="9.54296875" style="2600" bestFit="1" customWidth="1"/>
    <col min="16155" max="16156" width="0.81640625" style="2600" customWidth="1"/>
    <col min="16157" max="16157" width="9.81640625" style="2600" customWidth="1"/>
    <col min="16158" max="16158" width="1.08984375" style="2600" customWidth="1"/>
    <col min="16159" max="16159" width="8.54296875" style="2600" customWidth="1"/>
    <col min="16160" max="16160" width="14.54296875" style="2600" customWidth="1"/>
    <col min="16161" max="16161" width="10" style="2600" customWidth="1"/>
    <col min="16162" max="16162" width="7.81640625" style="2600" bestFit="1" customWidth="1"/>
    <col min="16163" max="16163" width="9.81640625" style="2600" customWidth="1"/>
    <col min="16164" max="16384" width="8.81640625" style="2600"/>
  </cols>
  <sheetData>
    <row r="1" spans="1:36" ht="15">
      <c r="A1" s="2210" t="s">
        <v>881</v>
      </c>
    </row>
    <row r="2" spans="1:36" ht="10.5" customHeight="1"/>
    <row r="3" spans="1:36" ht="17.399999999999999">
      <c r="A3" s="2603" t="s">
        <v>0</v>
      </c>
      <c r="AI3" s="2604" t="s">
        <v>1056</v>
      </c>
    </row>
    <row r="4" spans="1:36" ht="17.399999999999999">
      <c r="A4" s="2605" t="s">
        <v>183</v>
      </c>
    </row>
    <row r="5" spans="1:36" ht="17.399999999999999">
      <c r="A5" s="2605" t="s">
        <v>147</v>
      </c>
      <c r="AB5" s="3977"/>
      <c r="AC5" s="3978"/>
      <c r="AD5" s="3978"/>
      <c r="AE5" s="2606"/>
      <c r="AF5" s="2606"/>
      <c r="AG5" s="2606"/>
      <c r="AH5" s="2606"/>
      <c r="AI5" s="2606"/>
      <c r="AJ5" s="2607"/>
    </row>
    <row r="6" spans="1:36" ht="17.399999999999999">
      <c r="A6" s="2603" t="str">
        <f>'Cashflow Governmental'!A6</f>
        <v xml:space="preserve">FISCAL YEAR 2021-2022   </v>
      </c>
    </row>
    <row r="7" spans="1:36" ht="17.399999999999999">
      <c r="A7" s="2605" t="s">
        <v>1263</v>
      </c>
    </row>
    <row r="8" spans="1:36" ht="15.6">
      <c r="AA8" s="3979" t="s">
        <v>1572</v>
      </c>
      <c r="AB8" s="3979"/>
      <c r="AC8" s="3979"/>
      <c r="AD8" s="3979"/>
      <c r="AE8" s="3979"/>
      <c r="AF8" s="3979"/>
      <c r="AG8" s="3979"/>
      <c r="AH8" s="3979"/>
      <c r="AI8" s="3979"/>
    </row>
    <row r="9" spans="1:36" ht="15.6">
      <c r="B9" s="2608" t="str">
        <f>'Cashflow Governmental'!C13</f>
        <v>2021</v>
      </c>
      <c r="C9" s="2428"/>
      <c r="D9" s="2428"/>
      <c r="E9" s="2428"/>
      <c r="F9" s="2609"/>
      <c r="G9" s="2428"/>
      <c r="H9" s="2428"/>
      <c r="I9" s="2428"/>
      <c r="J9" s="2428"/>
      <c r="K9" s="2428"/>
      <c r="L9" s="2428"/>
      <c r="M9" s="2428"/>
      <c r="N9" s="2428"/>
      <c r="O9" s="2428"/>
      <c r="P9" s="2428"/>
      <c r="Q9" s="2428"/>
      <c r="R9" s="2428"/>
      <c r="S9" s="2428"/>
      <c r="T9" s="2608">
        <f>'Cashflow Governmental'!U13</f>
        <v>2022</v>
      </c>
      <c r="U9" s="2428"/>
      <c r="V9" s="2428"/>
      <c r="W9" s="2428"/>
      <c r="X9" s="2610"/>
      <c r="Y9" s="2428"/>
      <c r="Z9" s="2428"/>
      <c r="AA9" s="2428"/>
      <c r="AB9" s="2428"/>
      <c r="AC9" s="2428"/>
      <c r="AD9" s="2428"/>
      <c r="AE9" s="2611"/>
      <c r="AF9" s="2428"/>
      <c r="AG9" s="2612" t="s">
        <v>7</v>
      </c>
      <c r="AH9" s="2613"/>
      <c r="AI9" s="2614" t="s">
        <v>8</v>
      </c>
      <c r="AJ9" s="2607"/>
    </row>
    <row r="10" spans="1:36" ht="15.6">
      <c r="B10" s="2615" t="s">
        <v>123</v>
      </c>
      <c r="C10" s="2428"/>
      <c r="D10" s="2615" t="s">
        <v>124</v>
      </c>
      <c r="E10" s="2610"/>
      <c r="F10" s="2616" t="s">
        <v>125</v>
      </c>
      <c r="G10" s="2610"/>
      <c r="H10" s="2615" t="s">
        <v>126</v>
      </c>
      <c r="I10" s="2610"/>
      <c r="J10" s="2615" t="s">
        <v>127</v>
      </c>
      <c r="K10" s="2610"/>
      <c r="L10" s="2617" t="s">
        <v>142</v>
      </c>
      <c r="M10" s="2610"/>
      <c r="N10" s="2615" t="s">
        <v>143</v>
      </c>
      <c r="O10" s="2610"/>
      <c r="P10" s="2615" t="s">
        <v>130</v>
      </c>
      <c r="Q10" s="2610"/>
      <c r="R10" s="2615" t="s">
        <v>131</v>
      </c>
      <c r="S10" s="2428"/>
      <c r="T10" s="2615" t="s">
        <v>132</v>
      </c>
      <c r="U10" s="2610"/>
      <c r="V10" s="2615" t="s">
        <v>133</v>
      </c>
      <c r="W10" s="2610"/>
      <c r="X10" s="2615" t="s">
        <v>184</v>
      </c>
      <c r="Y10" s="2610"/>
      <c r="Z10" s="2610"/>
      <c r="AA10" s="2618">
        <f>'Cashflow Governmental'!AB14</f>
        <v>2022</v>
      </c>
      <c r="AB10" s="2610"/>
      <c r="AC10" s="2610"/>
      <c r="AD10" s="2618">
        <f>'Cashflow Governmental'!AE14</f>
        <v>2021</v>
      </c>
      <c r="AE10" s="2619"/>
      <c r="AF10" s="2619"/>
      <c r="AG10" s="2620" t="s">
        <v>11</v>
      </c>
      <c r="AH10" s="2621"/>
      <c r="AI10" s="2620" t="s">
        <v>12</v>
      </c>
      <c r="AJ10" s="2607"/>
    </row>
    <row r="11" spans="1:36" ht="3" customHeight="1">
      <c r="B11" s="2622"/>
      <c r="C11" s="1443"/>
      <c r="D11" s="2622"/>
      <c r="E11" s="2623"/>
      <c r="F11" s="2624"/>
      <c r="G11" s="2623"/>
      <c r="H11" s="2622"/>
      <c r="I11" s="2623"/>
      <c r="J11" s="2622"/>
      <c r="K11" s="2623"/>
      <c r="L11" s="2625"/>
      <c r="M11" s="2623"/>
      <c r="N11" s="2622"/>
      <c r="O11" s="2623"/>
      <c r="P11" s="2622"/>
      <c r="Q11" s="2623"/>
      <c r="R11" s="2622"/>
      <c r="S11" s="1443"/>
      <c r="T11" s="2626"/>
      <c r="U11" s="2623"/>
      <c r="V11" s="2622"/>
      <c r="W11" s="2623"/>
      <c r="X11" s="2622"/>
      <c r="Y11" s="2623"/>
      <c r="Z11" s="2623"/>
      <c r="AA11" s="2627"/>
      <c r="AB11" s="2623"/>
      <c r="AC11" s="2623"/>
      <c r="AD11" s="2627"/>
      <c r="AE11" s="2627"/>
      <c r="AF11" s="2628"/>
      <c r="AG11" s="2627"/>
      <c r="AH11" s="1440"/>
      <c r="AI11" s="1443"/>
    </row>
    <row r="12" spans="1:36" ht="15.6">
      <c r="A12" s="2629" t="s">
        <v>185</v>
      </c>
      <c r="B12" s="2408">
        <v>65</v>
      </c>
      <c r="C12" s="2408"/>
      <c r="D12" s="2630">
        <f>B78</f>
        <v>206.5</v>
      </c>
      <c r="E12" s="2408"/>
      <c r="F12" s="2630">
        <f>D78</f>
        <v>302.89999999999998</v>
      </c>
      <c r="G12" s="2408"/>
      <c r="H12" s="2630">
        <f>F78</f>
        <v>237.7</v>
      </c>
      <c r="I12" s="2408"/>
      <c r="J12" s="2630">
        <f>H78</f>
        <v>546.1</v>
      </c>
      <c r="K12" s="2408"/>
      <c r="L12" s="2630">
        <f>J78</f>
        <v>982.1</v>
      </c>
      <c r="M12" s="2408"/>
      <c r="N12" s="2630">
        <f>L78</f>
        <v>184.2</v>
      </c>
      <c r="O12" s="2408"/>
      <c r="P12" s="2630">
        <f>N78</f>
        <v>314.60000000000002</v>
      </c>
      <c r="Q12" s="2408"/>
      <c r="R12" s="2630">
        <f>P78</f>
        <v>501.2</v>
      </c>
      <c r="S12" s="2408"/>
      <c r="T12" s="2630">
        <f>R78</f>
        <v>343.2</v>
      </c>
      <c r="U12" s="2408"/>
      <c r="V12" s="2630"/>
      <c r="W12" s="2408"/>
      <c r="X12" s="2630"/>
      <c r="Y12" s="2631"/>
      <c r="Z12" s="2408"/>
      <c r="AA12" s="2408">
        <f>B12</f>
        <v>65</v>
      </c>
      <c r="AB12" s="2631"/>
      <c r="AC12" s="2408"/>
      <c r="AD12" s="3405">
        <v>63.4</v>
      </c>
      <c r="AE12" s="2632"/>
      <c r="AF12" s="2633"/>
      <c r="AG12" s="2634">
        <f>ROUND(SUM(AA12-AD12),1)</f>
        <v>1.6</v>
      </c>
      <c r="AH12" s="2611"/>
      <c r="AI12" s="2635">
        <f>ROUND(SUM(AG12/AD12),3)</f>
        <v>2.5000000000000001E-2</v>
      </c>
      <c r="AJ12" s="2607"/>
    </row>
    <row r="13" spans="1:36" ht="12.75" customHeight="1">
      <c r="A13" s="1443"/>
      <c r="B13" s="1443"/>
      <c r="C13" s="1443"/>
      <c r="D13" s="1443"/>
      <c r="E13" s="1443"/>
      <c r="F13" s="1959"/>
      <c r="G13" s="1443"/>
      <c r="H13" s="1443"/>
      <c r="I13" s="1443"/>
      <c r="J13" s="1443"/>
      <c r="K13" s="1443"/>
      <c r="L13" s="1443"/>
      <c r="M13" s="1443"/>
      <c r="N13" s="1443"/>
      <c r="O13" s="1443"/>
      <c r="P13" s="1443"/>
      <c r="Q13" s="1443"/>
      <c r="R13" s="1443"/>
      <c r="S13" s="1443"/>
      <c r="T13" s="1443"/>
      <c r="U13" s="1443"/>
      <c r="V13" s="1443"/>
      <c r="W13" s="1443"/>
      <c r="X13" s="1443"/>
      <c r="Y13" s="2636"/>
      <c r="Z13" s="1443"/>
      <c r="AA13" s="1959"/>
      <c r="AB13" s="2637"/>
      <c r="AC13" s="1959"/>
      <c r="AD13" s="2560"/>
      <c r="AE13" s="2627"/>
      <c r="AF13" s="2638"/>
      <c r="AG13" s="2639"/>
      <c r="AH13" s="1440"/>
      <c r="AI13" s="1443"/>
    </row>
    <row r="14" spans="1:36" ht="14.25" customHeight="1">
      <c r="A14" s="2428" t="s">
        <v>13</v>
      </c>
      <c r="B14" s="1443"/>
      <c r="C14" s="1443"/>
      <c r="D14" s="1443"/>
      <c r="E14" s="1443"/>
      <c r="F14" s="1959"/>
      <c r="G14" s="1443"/>
      <c r="H14" s="1443"/>
      <c r="I14" s="1443"/>
      <c r="J14" s="1443"/>
      <c r="K14" s="1443"/>
      <c r="L14" s="1443"/>
      <c r="M14" s="1443"/>
      <c r="N14" s="1443"/>
      <c r="O14" s="1443"/>
      <c r="P14" s="1443"/>
      <c r="Q14" s="1443"/>
      <c r="R14" s="1443"/>
      <c r="S14" s="1443"/>
      <c r="T14" s="1443"/>
      <c r="U14" s="1443"/>
      <c r="V14" s="1443"/>
      <c r="W14" s="1443"/>
      <c r="X14" s="1443"/>
      <c r="Y14" s="2636"/>
      <c r="Z14" s="1443"/>
      <c r="AA14" s="1959"/>
      <c r="AB14" s="2637"/>
      <c r="AC14" s="1959"/>
      <c r="AD14" s="2560"/>
      <c r="AE14" s="2627"/>
      <c r="AF14" s="2638"/>
      <c r="AG14" s="2639"/>
      <c r="AH14" s="1440"/>
      <c r="AI14" s="1443"/>
    </row>
    <row r="15" spans="1:36" ht="14.25" customHeight="1">
      <c r="A15" s="2417" t="s">
        <v>991</v>
      </c>
      <c r="B15" s="1424"/>
      <c r="C15" s="1424"/>
      <c r="D15" s="1424"/>
      <c r="E15" s="2640"/>
      <c r="F15" s="1424"/>
      <c r="G15" s="2640"/>
      <c r="H15" s="1443"/>
      <c r="I15" s="1443"/>
      <c r="J15" s="1443"/>
      <c r="K15" s="1443"/>
      <c r="L15" s="1443"/>
      <c r="M15" s="1443"/>
      <c r="N15" s="1443"/>
      <c r="O15" s="1443"/>
      <c r="P15" s="1443"/>
      <c r="Q15" s="1443"/>
      <c r="R15" s="1443"/>
      <c r="S15" s="1443"/>
      <c r="T15" s="1443"/>
      <c r="U15" s="1443"/>
      <c r="V15" s="1443"/>
      <c r="W15" s="1443"/>
      <c r="X15" s="1443"/>
      <c r="Y15" s="2641"/>
      <c r="Z15" s="1443"/>
      <c r="AA15" s="1959"/>
      <c r="AB15" s="1958"/>
      <c r="AC15" s="1959"/>
      <c r="AD15" s="3042"/>
      <c r="AE15" s="2627"/>
      <c r="AF15" s="2638"/>
      <c r="AG15" s="2639"/>
      <c r="AH15" s="1440"/>
      <c r="AI15" s="1443"/>
    </row>
    <row r="16" spans="1:36" ht="14.25" customHeight="1">
      <c r="A16" s="2495" t="s">
        <v>994</v>
      </c>
      <c r="B16" s="1352">
        <v>3262.9</v>
      </c>
      <c r="C16" s="1407"/>
      <c r="D16" s="1352">
        <v>4916.5</v>
      </c>
      <c r="E16" s="1407"/>
      <c r="F16" s="1352">
        <v>2910.3000000000011</v>
      </c>
      <c r="G16" s="1352"/>
      <c r="H16" s="1352">
        <v>1682.2999999999993</v>
      </c>
      <c r="I16" s="2560"/>
      <c r="J16" s="1352">
        <v>1900.7000000000007</v>
      </c>
      <c r="K16" s="2560"/>
      <c r="L16" s="1352">
        <v>3224.8999999999978</v>
      </c>
      <c r="M16" s="2560"/>
      <c r="N16" s="1352">
        <v>1688.2000000000007</v>
      </c>
      <c r="O16" s="2560"/>
      <c r="P16" s="1768">
        <v>1790.4999999999982</v>
      </c>
      <c r="Q16" s="2560"/>
      <c r="R16" s="1768">
        <v>3143.2000000000007</v>
      </c>
      <c r="S16" s="2560"/>
      <c r="T16" s="1768">
        <f>$AA16-$B16-$D16-$F16-$H16-$J16-$L16-$N16-R16-P16</f>
        <v>5216.4999999999982</v>
      </c>
      <c r="U16" s="2560"/>
      <c r="V16" s="1768"/>
      <c r="W16" s="2560"/>
      <c r="X16" s="1768"/>
      <c r="Y16" s="2641"/>
      <c r="Z16" s="1443"/>
      <c r="AA16" s="1768">
        <v>29736</v>
      </c>
      <c r="AB16" s="1958"/>
      <c r="AC16" s="1959"/>
      <c r="AD16" s="1768">
        <v>23125.599999999999</v>
      </c>
      <c r="AE16" s="2627"/>
      <c r="AF16" s="2638"/>
      <c r="AG16" s="2642">
        <f>ROUND(SUM(AA16-AD16),1)</f>
        <v>6610.4</v>
      </c>
      <c r="AH16" s="1440"/>
      <c r="AI16" s="1629">
        <f>ROUND(IF(AD16=0,0,AG16/ABS(AD16)),3)</f>
        <v>0.28599999999999998</v>
      </c>
    </row>
    <row r="17" spans="1:35" ht="6" customHeight="1">
      <c r="A17" s="2495"/>
      <c r="B17" s="1352"/>
      <c r="C17" s="1407"/>
      <c r="D17" s="1352"/>
      <c r="E17" s="1407"/>
      <c r="F17" s="1352"/>
      <c r="G17" s="2424"/>
      <c r="H17" s="1352"/>
      <c r="I17" s="1443"/>
      <c r="J17" s="1352"/>
      <c r="K17" s="1443"/>
      <c r="L17" s="1352"/>
      <c r="M17" s="1443"/>
      <c r="N17" s="1352"/>
      <c r="O17" s="1443"/>
      <c r="P17" s="1768">
        <v>0</v>
      </c>
      <c r="Q17" s="1443"/>
      <c r="R17" s="1768"/>
      <c r="S17" s="1443"/>
      <c r="T17" s="1768"/>
      <c r="U17" s="1443"/>
      <c r="V17" s="1768"/>
      <c r="W17" s="1443"/>
      <c r="X17" s="1768"/>
      <c r="Y17" s="2643"/>
      <c r="Z17" s="1443"/>
      <c r="AA17" s="1768"/>
      <c r="AB17" s="1960"/>
      <c r="AC17" s="1959"/>
      <c r="AD17" s="1768"/>
      <c r="AE17" s="2627"/>
      <c r="AF17" s="2638"/>
      <c r="AG17" s="2642"/>
      <c r="AH17" s="1440"/>
      <c r="AI17" s="1629"/>
    </row>
    <row r="18" spans="1:35" ht="14.25" customHeight="1">
      <c r="A18" s="2495" t="s">
        <v>1050</v>
      </c>
      <c r="B18" s="1428"/>
      <c r="C18" s="1427"/>
      <c r="D18" s="1352"/>
      <c r="E18" s="1427"/>
      <c r="F18" s="1352"/>
      <c r="G18" s="1427"/>
      <c r="H18" s="1428"/>
      <c r="I18" s="1443"/>
      <c r="J18" s="1352"/>
      <c r="K18" s="1443"/>
      <c r="L18" s="1352"/>
      <c r="M18" s="1443"/>
      <c r="N18" s="1352"/>
      <c r="O18" s="1443"/>
      <c r="P18" s="1768"/>
      <c r="Q18" s="1443"/>
      <c r="R18" s="1768"/>
      <c r="S18" s="1443"/>
      <c r="T18" s="1768"/>
      <c r="U18" s="1443"/>
      <c r="V18" s="1768"/>
      <c r="W18" s="1443"/>
      <c r="X18" s="1768"/>
      <c r="Y18" s="2641"/>
      <c r="Z18" s="1443"/>
      <c r="AA18" s="1446"/>
      <c r="AB18" s="1958"/>
      <c r="AC18" s="1959"/>
      <c r="AD18" s="1446"/>
      <c r="AE18" s="2627"/>
      <c r="AF18" s="2638"/>
      <c r="AG18" s="2639"/>
      <c r="AH18" s="1440"/>
      <c r="AI18" s="1443"/>
    </row>
    <row r="19" spans="1:35" ht="14.25" customHeight="1">
      <c r="A19" s="2210" t="s">
        <v>1006</v>
      </c>
      <c r="B19" s="1352">
        <v>895.4</v>
      </c>
      <c r="C19" s="1407"/>
      <c r="D19" s="1352">
        <v>885.30000000000007</v>
      </c>
      <c r="E19" s="1407"/>
      <c r="F19" s="1352">
        <v>1207.0999999999999</v>
      </c>
      <c r="G19" s="1427"/>
      <c r="H19" s="1352">
        <v>971.5</v>
      </c>
      <c r="I19" s="2560"/>
      <c r="J19" s="1352">
        <v>938.09999999999945</v>
      </c>
      <c r="K19" s="2560"/>
      <c r="L19" s="1352">
        <v>1222.7000000000012</v>
      </c>
      <c r="M19" s="2560"/>
      <c r="N19" s="1352">
        <v>942.79999999999927</v>
      </c>
      <c r="O19" s="2560"/>
      <c r="P19" s="1768">
        <v>969.00000000000045</v>
      </c>
      <c r="Q19" s="2560"/>
      <c r="R19" s="1768">
        <v>1232.3999999999996</v>
      </c>
      <c r="S19" s="2560"/>
      <c r="T19" s="1768">
        <f>$AA19-$B19-$D19-$F19-$H19-$J19-$L19-$N19-R19-P19</f>
        <v>1039.900000000001</v>
      </c>
      <c r="U19" s="2560"/>
      <c r="V19" s="1768"/>
      <c r="W19" s="2560"/>
      <c r="X19" s="1768"/>
      <c r="Y19" s="2641"/>
      <c r="Z19" s="1443"/>
      <c r="AA19" s="1768">
        <v>10304.200000000001</v>
      </c>
      <c r="AB19" s="1958"/>
      <c r="AC19" s="1959"/>
      <c r="AD19" s="1768">
        <v>5510.1</v>
      </c>
      <c r="AE19" s="2627"/>
      <c r="AF19" s="2638"/>
      <c r="AG19" s="2642">
        <f>ROUND(SUM(AA19-AD19),1)</f>
        <v>4794.1000000000004</v>
      </c>
      <c r="AH19" s="1440"/>
      <c r="AI19" s="1410">
        <f>ROUND(IF(AD19=0,0,AG19/ABS(AD19)),3)</f>
        <v>0.87</v>
      </c>
    </row>
    <row r="20" spans="1:35" ht="14.25" customHeight="1">
      <c r="A20" s="2428" t="s">
        <v>1005</v>
      </c>
      <c r="B20" s="1444">
        <f>ROUND(SUM(B19:B19),1)</f>
        <v>895.4</v>
      </c>
      <c r="C20" s="1445"/>
      <c r="D20" s="1444">
        <f>ROUND(SUM(D19:D19),1)</f>
        <v>885.3</v>
      </c>
      <c r="E20" s="1445"/>
      <c r="F20" s="1444">
        <f>ROUND(SUM(F19:F19),1)</f>
        <v>1207.0999999999999</v>
      </c>
      <c r="G20" s="1445"/>
      <c r="H20" s="1444">
        <f>ROUND(SUM(H19:H19),1)</f>
        <v>971.5</v>
      </c>
      <c r="I20" s="1443"/>
      <c r="J20" s="1444">
        <f>ROUND(SUM(J19:J19),1)</f>
        <v>938.1</v>
      </c>
      <c r="K20" s="1443"/>
      <c r="L20" s="1444">
        <f>ROUND(SUM(L19:L19),1)</f>
        <v>1222.7</v>
      </c>
      <c r="M20" s="1443"/>
      <c r="N20" s="1444">
        <f>ROUND(SUM(N19:N19),1)</f>
        <v>942.8</v>
      </c>
      <c r="O20" s="1443"/>
      <c r="P20" s="1444">
        <f>ROUND(SUM(P19:P19),1)</f>
        <v>969</v>
      </c>
      <c r="Q20" s="1443"/>
      <c r="R20" s="1444">
        <f>ROUND(SUM(R19:R19),1)</f>
        <v>1232.4000000000001</v>
      </c>
      <c r="S20" s="1443"/>
      <c r="T20" s="1444">
        <f>ROUND(SUM(T19:T19),1)</f>
        <v>1039.9000000000001</v>
      </c>
      <c r="U20" s="1443"/>
      <c r="V20" s="1444">
        <f>ROUND(SUM(V19:V19),1)</f>
        <v>0</v>
      </c>
      <c r="W20" s="1443"/>
      <c r="X20" s="1444">
        <f>ROUND(SUM(X19:X19),1)</f>
        <v>0</v>
      </c>
      <c r="Y20" s="2641"/>
      <c r="Z20" s="1443"/>
      <c r="AA20" s="1444">
        <f>ROUND(SUM(AA19:AA19),1)</f>
        <v>10304.200000000001</v>
      </c>
      <c r="AB20" s="1958"/>
      <c r="AC20" s="1959"/>
      <c r="AD20" s="1444">
        <f>ROUND(SUM(AD19:AD19),1)</f>
        <v>5510.1</v>
      </c>
      <c r="AE20" s="2627"/>
      <c r="AF20" s="2638"/>
      <c r="AG20" s="2644">
        <f>ROUND(SUM(AA20-AD20),1)</f>
        <v>4794.1000000000004</v>
      </c>
      <c r="AH20" s="2611"/>
      <c r="AI20" s="1426">
        <f>ROUND(IF(AD20=0,0,AG20/ABS(AD20)),3)</f>
        <v>0.87</v>
      </c>
    </row>
    <row r="21" spans="1:35" ht="14.25" customHeight="1">
      <c r="A21" s="2495" t="s">
        <v>1051</v>
      </c>
      <c r="B21" s="1446"/>
      <c r="C21" s="1445"/>
      <c r="D21" s="1446"/>
      <c r="E21" s="1445"/>
      <c r="F21" s="1446"/>
      <c r="G21" s="1445"/>
      <c r="H21" s="1446"/>
      <c r="I21" s="1443"/>
      <c r="J21" s="1446"/>
      <c r="K21" s="1443"/>
      <c r="L21" s="1446"/>
      <c r="M21" s="1443"/>
      <c r="N21" s="1446"/>
      <c r="O21" s="1443"/>
      <c r="P21" s="1446"/>
      <c r="Q21" s="1443"/>
      <c r="R21" s="1446"/>
      <c r="S21" s="1443"/>
      <c r="T21" s="1446"/>
      <c r="U21" s="1443"/>
      <c r="V21" s="1446"/>
      <c r="W21" s="1443"/>
      <c r="X21" s="1446"/>
      <c r="Y21" s="3914"/>
      <c r="Z21" s="1443"/>
      <c r="AA21" s="1446"/>
      <c r="AB21" s="3915"/>
      <c r="AC21" s="1959"/>
      <c r="AD21" s="1446"/>
      <c r="AE21" s="2627"/>
      <c r="AF21" s="2638"/>
      <c r="AG21" s="2657"/>
      <c r="AH21" s="2611"/>
      <c r="AI21" s="1415"/>
    </row>
    <row r="22" spans="1:35" ht="14.25" customHeight="1">
      <c r="A22" s="2210" t="s">
        <v>1538</v>
      </c>
      <c r="B22" s="2020">
        <v>0</v>
      </c>
      <c r="C22" s="1427"/>
      <c r="D22" s="2020">
        <v>0</v>
      </c>
      <c r="E22" s="1427"/>
      <c r="F22" s="2020">
        <v>0</v>
      </c>
      <c r="G22" s="1427"/>
      <c r="H22" s="2020">
        <v>0</v>
      </c>
      <c r="I22" s="2658"/>
      <c r="J22" s="2020">
        <v>0</v>
      </c>
      <c r="K22" s="2658"/>
      <c r="L22" s="2020">
        <v>0</v>
      </c>
      <c r="M22" s="2658"/>
      <c r="N22" s="2020">
        <v>0</v>
      </c>
      <c r="O22" s="2658"/>
      <c r="P22" s="2020">
        <v>0</v>
      </c>
      <c r="Q22" s="2658"/>
      <c r="R22" s="1768">
        <v>5081.7</v>
      </c>
      <c r="S22" s="2658"/>
      <c r="T22" s="1768">
        <f>$AA22-$B22-$D22-$F22-$H22-$J22-$L22-$N22-R22-P22</f>
        <v>448.60000000000036</v>
      </c>
      <c r="U22" s="2658"/>
      <c r="V22" s="2020"/>
      <c r="W22" s="2658"/>
      <c r="X22" s="2020"/>
      <c r="Y22" s="3916"/>
      <c r="Z22" s="2658"/>
      <c r="AA22" s="1768">
        <v>5530.3</v>
      </c>
      <c r="AB22" s="1958"/>
      <c r="AC22" s="1959"/>
      <c r="AD22" s="1768">
        <v>0</v>
      </c>
      <c r="AE22" s="3490"/>
      <c r="AF22" s="3491"/>
      <c r="AG22" s="2642">
        <f>ROUND(SUM(AA22-AD22),1)</f>
        <v>5530.3</v>
      </c>
      <c r="AH22" s="1440"/>
      <c r="AI22" s="1410">
        <f>ROUND(IF(AD22=0,1,AG22/ABS(AD22)),3)</f>
        <v>1</v>
      </c>
    </row>
    <row r="23" spans="1:35" ht="14.25" customHeight="1">
      <c r="A23" s="2428" t="s">
        <v>1012</v>
      </c>
      <c r="B23" s="3094">
        <f>ROUND(SUM(B22),1)</f>
        <v>0</v>
      </c>
      <c r="C23" s="1445"/>
      <c r="D23" s="3094">
        <f>ROUND(SUM(D22),1)</f>
        <v>0</v>
      </c>
      <c r="E23" s="1445"/>
      <c r="F23" s="3094">
        <f>ROUND(SUM(F22),1)</f>
        <v>0</v>
      </c>
      <c r="G23" s="1445"/>
      <c r="H23" s="3094">
        <f>ROUND(SUM(H22),1)</f>
        <v>0</v>
      </c>
      <c r="I23" s="1443"/>
      <c r="J23" s="3094">
        <f>ROUND(SUM(J22),1)</f>
        <v>0</v>
      </c>
      <c r="K23" s="1443"/>
      <c r="L23" s="3094">
        <f>ROUND(SUM(L22),1)</f>
        <v>0</v>
      </c>
      <c r="M23" s="1443"/>
      <c r="N23" s="3094">
        <f>ROUND(SUM(N22),1)</f>
        <v>0</v>
      </c>
      <c r="O23" s="1443"/>
      <c r="P23" s="3094">
        <f>ROUND(SUM(P22),1)</f>
        <v>0</v>
      </c>
      <c r="Q23" s="1443"/>
      <c r="R23" s="3094">
        <f>ROUND(SUM(R22),1)</f>
        <v>5081.7</v>
      </c>
      <c r="S23" s="1443"/>
      <c r="T23" s="3094">
        <f>ROUND(SUM(T22),1)</f>
        <v>448.6</v>
      </c>
      <c r="U23" s="1443"/>
      <c r="V23" s="3094">
        <f>ROUND(SUM(V22),1)</f>
        <v>0</v>
      </c>
      <c r="W23" s="1443"/>
      <c r="X23" s="3094">
        <f>ROUND(SUM(X22),1)</f>
        <v>0</v>
      </c>
      <c r="Y23" s="3914"/>
      <c r="Z23" s="1443"/>
      <c r="AA23" s="3094">
        <f>ROUND(SUM(AA22),1)</f>
        <v>5530.3</v>
      </c>
      <c r="AB23" s="3915"/>
      <c r="AC23" s="1959"/>
      <c r="AD23" s="3094">
        <f>ROUND(SUM(AD22),1)</f>
        <v>0</v>
      </c>
      <c r="AE23" s="2627"/>
      <c r="AF23" s="2638"/>
      <c r="AG23" s="2644">
        <f>ROUND(SUM(AA23-AD23),1)</f>
        <v>5530.3</v>
      </c>
      <c r="AH23" s="2611"/>
      <c r="AI23" s="1426">
        <f>ROUND(IF(AD23=0,1,AG23/ABS(AD23)),3)</f>
        <v>1</v>
      </c>
    </row>
    <row r="24" spans="1:35" ht="14.25" customHeight="1">
      <c r="A24" s="2418" t="s">
        <v>1052</v>
      </c>
      <c r="B24" s="1428"/>
      <c r="C24" s="1445"/>
      <c r="D24" s="1428"/>
      <c r="E24" s="1445"/>
      <c r="F24" s="1428"/>
      <c r="G24" s="1445"/>
      <c r="H24" s="1428"/>
      <c r="I24" s="1443"/>
      <c r="J24" s="1428"/>
      <c r="K24" s="1443"/>
      <c r="L24" s="1428"/>
      <c r="M24" s="1443"/>
      <c r="N24" s="1428"/>
      <c r="O24" s="1443"/>
      <c r="P24" s="1428"/>
      <c r="Q24" s="1443"/>
      <c r="R24" s="1428"/>
      <c r="S24" s="1443"/>
      <c r="T24" s="1428"/>
      <c r="U24" s="1443"/>
      <c r="V24" s="1428"/>
      <c r="W24" s="1443"/>
      <c r="X24" s="1428"/>
      <c r="Y24" s="2641"/>
      <c r="Z24" s="1443"/>
      <c r="AA24" s="1446"/>
      <c r="AB24" s="1958"/>
      <c r="AC24" s="1959"/>
      <c r="AD24" s="1446"/>
      <c r="AE24" s="2627"/>
      <c r="AF24" s="2638"/>
      <c r="AG24" s="2639"/>
      <c r="AH24" s="1440"/>
      <c r="AI24" s="1443"/>
    </row>
    <row r="25" spans="1:35" ht="14.25" customHeight="1">
      <c r="A25" s="2210" t="s">
        <v>1023</v>
      </c>
      <c r="B25" s="1352">
        <v>97.4</v>
      </c>
      <c r="C25" s="1407"/>
      <c r="D25" s="1352">
        <v>110</v>
      </c>
      <c r="E25" s="1407"/>
      <c r="F25" s="1352">
        <v>115.1</v>
      </c>
      <c r="G25" s="1445"/>
      <c r="H25" s="1352">
        <v>132.00000000000003</v>
      </c>
      <c r="I25" s="2560"/>
      <c r="J25" s="1352">
        <v>139.99999999999997</v>
      </c>
      <c r="K25" s="2560"/>
      <c r="L25" s="1352">
        <v>133.29999999999998</v>
      </c>
      <c r="M25" s="2560"/>
      <c r="N25" s="1352">
        <v>132.1</v>
      </c>
      <c r="O25" s="2560"/>
      <c r="P25" s="1768">
        <v>119.39999999999998</v>
      </c>
      <c r="Q25" s="2560"/>
      <c r="R25" s="1768">
        <v>134.79999999999998</v>
      </c>
      <c r="S25" s="2560"/>
      <c r="T25" s="1768">
        <f t="shared" ref="T25" si="0">$AA25-$B25-$D25-$F25-$H25-$J25-$L25-$N25-R25-P25</f>
        <v>167.19999999999993</v>
      </c>
      <c r="U25" s="2560"/>
      <c r="V25" s="1768"/>
      <c r="W25" s="2560"/>
      <c r="X25" s="1768"/>
      <c r="Y25" s="2641"/>
      <c r="Z25" s="1443"/>
      <c r="AA25" s="1768">
        <v>1281.3</v>
      </c>
      <c r="AB25" s="1958"/>
      <c r="AC25" s="1959"/>
      <c r="AD25" s="1768">
        <v>674</v>
      </c>
      <c r="AE25" s="2627"/>
      <c r="AF25" s="2638"/>
      <c r="AG25" s="2642">
        <f>ROUND(SUM(AA25-AD25),1)</f>
        <v>607.29999999999995</v>
      </c>
      <c r="AH25" s="1440"/>
      <c r="AI25" s="1410">
        <f>ROUND(IF(AD25=0,0,AG25/ABS(AD25)),3)</f>
        <v>0.90100000000000002</v>
      </c>
    </row>
    <row r="26" spans="1:35" ht="14.25" customHeight="1">
      <c r="A26" s="2425" t="s">
        <v>1270</v>
      </c>
      <c r="B26" s="1352">
        <v>0.1</v>
      </c>
      <c r="C26" s="1427"/>
      <c r="D26" s="1352">
        <v>0.1</v>
      </c>
      <c r="E26" s="1427"/>
      <c r="F26" s="1352">
        <v>9.9999999999999978E-2</v>
      </c>
      <c r="G26" s="1427"/>
      <c r="H26" s="1352">
        <v>0.20000000000000007</v>
      </c>
      <c r="I26" s="2658"/>
      <c r="J26" s="1352">
        <v>0.19999999999999996</v>
      </c>
      <c r="K26" s="2658"/>
      <c r="L26" s="1352">
        <v>0.10000000000000009</v>
      </c>
      <c r="M26" s="2658"/>
      <c r="N26" s="1352">
        <v>0.19999999999999996</v>
      </c>
      <c r="O26" s="2658"/>
      <c r="P26" s="1768">
        <v>9.9999999999999867E-2</v>
      </c>
      <c r="Q26" s="2658"/>
      <c r="R26" s="1768">
        <v>2.5</v>
      </c>
      <c r="S26" s="2658"/>
      <c r="T26" s="1768">
        <f>$AA26-$B26-$D26-$F26-$H26-$J26-$L26-$N26-R26-P26</f>
        <v>2.5000000000000009</v>
      </c>
      <c r="U26" s="2658"/>
      <c r="V26" s="1768"/>
      <c r="W26" s="2658"/>
      <c r="X26" s="1768"/>
      <c r="Y26" s="3487"/>
      <c r="Z26" s="2658"/>
      <c r="AA26" s="1768">
        <v>6.1000000000000005</v>
      </c>
      <c r="AB26" s="3488"/>
      <c r="AC26" s="3489"/>
      <c r="AD26" s="1768">
        <v>1.4</v>
      </c>
      <c r="AE26" s="3490"/>
      <c r="AF26" s="3491"/>
      <c r="AG26" s="2642">
        <f>ROUND(SUM(AA26-AD26),1)</f>
        <v>4.7</v>
      </c>
      <c r="AH26" s="1440"/>
      <c r="AI26" s="1629">
        <f>ROUND(IF(AD26=0,1,AG26/ABS(AD26)),3)</f>
        <v>3.3570000000000002</v>
      </c>
    </row>
    <row r="27" spans="1:35" ht="14.25" customHeight="1">
      <c r="A27" s="2428" t="s">
        <v>1018</v>
      </c>
      <c r="B27" s="1961">
        <f>ROUND(SUM(B25:B26),1)</f>
        <v>97.5</v>
      </c>
      <c r="C27" s="1445"/>
      <c r="D27" s="2021">
        <f>ROUND(SUM(D25:D26),1)</f>
        <v>110.1</v>
      </c>
      <c r="E27" s="1445"/>
      <c r="F27" s="2021">
        <f>ROUND(SUM(F25:F26),1)</f>
        <v>115.2</v>
      </c>
      <c r="G27" s="1445"/>
      <c r="H27" s="2021">
        <f>ROUND(SUM(H25:H26),1)</f>
        <v>132.19999999999999</v>
      </c>
      <c r="I27" s="1443"/>
      <c r="J27" s="2021">
        <f>ROUND(SUM(J25:J26),1)</f>
        <v>140.19999999999999</v>
      </c>
      <c r="K27" s="1443"/>
      <c r="L27" s="2021">
        <f>ROUND(SUM(L25:L26),1)</f>
        <v>133.4</v>
      </c>
      <c r="M27" s="1443"/>
      <c r="N27" s="2021">
        <f>ROUND(SUM(N25:N26),1)</f>
        <v>132.30000000000001</v>
      </c>
      <c r="O27" s="1443"/>
      <c r="P27" s="2021">
        <f>ROUND(SUM(P25:P26),1)</f>
        <v>119.5</v>
      </c>
      <c r="Q27" s="1443"/>
      <c r="R27" s="2021">
        <f>ROUND(SUM(R25:R26),1)</f>
        <v>137.30000000000001</v>
      </c>
      <c r="S27" s="1443"/>
      <c r="T27" s="2021">
        <f>ROUND(SUM(T25:T26),1)</f>
        <v>169.7</v>
      </c>
      <c r="U27" s="1443"/>
      <c r="V27" s="2021">
        <f>ROUND(SUM(V25:V26),1)</f>
        <v>0</v>
      </c>
      <c r="W27" s="1443"/>
      <c r="X27" s="2021">
        <f>ROUND(SUM(X25:X26),1)</f>
        <v>0</v>
      </c>
      <c r="Y27" s="2641"/>
      <c r="Z27" s="1443"/>
      <c r="AA27" s="1444">
        <f>SUM(AA25:AA26)</f>
        <v>1287.3999999999999</v>
      </c>
      <c r="AB27" s="1958"/>
      <c r="AC27" s="1959"/>
      <c r="AD27" s="1444">
        <f>SUM(AD25:AD26)</f>
        <v>675.4</v>
      </c>
      <c r="AE27" s="2627"/>
      <c r="AF27" s="2638"/>
      <c r="AG27" s="2645">
        <f>ROUND(SUM(AA27-AD27),1)</f>
        <v>612</v>
      </c>
      <c r="AH27" s="2611"/>
      <c r="AI27" s="1439">
        <f>ROUND(IF(AD27=0,0,AG27/ABS(AD27)),3)</f>
        <v>0.90600000000000003</v>
      </c>
    </row>
    <row r="28" spans="1:35" ht="14.25" customHeight="1">
      <c r="A28" s="2428"/>
      <c r="B28" s="1961"/>
      <c r="C28" s="1445"/>
      <c r="D28" s="1428"/>
      <c r="E28" s="1445"/>
      <c r="F28" s="1428"/>
      <c r="G28" s="1428"/>
      <c r="H28" s="1428"/>
      <c r="I28" s="1440"/>
      <c r="J28" s="1428"/>
      <c r="K28" s="1440"/>
      <c r="L28" s="1428"/>
      <c r="M28" s="1440"/>
      <c r="N28" s="1428"/>
      <c r="O28" s="1440"/>
      <c r="P28" s="1428"/>
      <c r="Q28" s="1440"/>
      <c r="R28" s="1428"/>
      <c r="S28" s="1440"/>
      <c r="T28" s="1428"/>
      <c r="U28" s="1440"/>
      <c r="V28" s="1428"/>
      <c r="W28" s="1440"/>
      <c r="X28" s="1428"/>
      <c r="Y28" s="2641"/>
      <c r="Z28" s="1443"/>
      <c r="AA28" s="1961"/>
      <c r="AB28" s="1958"/>
      <c r="AC28" s="1959"/>
      <c r="AD28" s="3406"/>
      <c r="AE28" s="2627"/>
      <c r="AF28" s="2638"/>
      <c r="AG28" s="2639"/>
      <c r="AH28" s="1440"/>
      <c r="AI28" s="1440"/>
    </row>
    <row r="29" spans="1:35" ht="14.25" customHeight="1">
      <c r="A29" s="2428" t="s">
        <v>1019</v>
      </c>
      <c r="B29" s="2437">
        <f>ROUND(SUM(B16+B20+B23+B27),1)</f>
        <v>4255.8</v>
      </c>
      <c r="C29" s="1427"/>
      <c r="D29" s="2437">
        <f>ROUND(SUM(D16+D20+D23+D27),1)</f>
        <v>5911.9</v>
      </c>
      <c r="E29" s="1427"/>
      <c r="F29" s="2437">
        <f>ROUND(SUM(F16+F20+F23+F27),1)</f>
        <v>4232.6000000000004</v>
      </c>
      <c r="G29" s="1427"/>
      <c r="H29" s="2437">
        <f>ROUND(SUM(H16+H20+H23+H27),1)</f>
        <v>2786</v>
      </c>
      <c r="I29" s="1443"/>
      <c r="J29" s="1962">
        <f>ROUND(SUM(J16+J20+J23+J27),1)</f>
        <v>2979</v>
      </c>
      <c r="K29" s="1443"/>
      <c r="L29" s="1962">
        <f>ROUND(SUM(L16+L20+L23+L27),1)</f>
        <v>4581</v>
      </c>
      <c r="M29" s="1443"/>
      <c r="N29" s="1962">
        <f>ROUND(SUM(N16+N20+N23+N27),1)</f>
        <v>2763.3</v>
      </c>
      <c r="O29" s="1443"/>
      <c r="P29" s="1962">
        <f>ROUND(SUM(P16+P20+P23+P27),1)</f>
        <v>2879</v>
      </c>
      <c r="Q29" s="1443"/>
      <c r="R29" s="1962">
        <f>ROUND(SUM(R16+R20+R23+R27),1)</f>
        <v>9594.6</v>
      </c>
      <c r="S29" s="1443"/>
      <c r="T29" s="1962">
        <f>ROUND(SUM(T16+T20+T23+T27),1)</f>
        <v>6874.7</v>
      </c>
      <c r="U29" s="1443"/>
      <c r="V29" s="1962">
        <f>ROUND(SUM(V16+V20+V23+V27),1)</f>
        <v>0</v>
      </c>
      <c r="W29" s="1443"/>
      <c r="X29" s="1962">
        <f>ROUND(SUM(X16+X20+X23+X27),1)</f>
        <v>0</v>
      </c>
      <c r="Y29" s="2641"/>
      <c r="Z29" s="1443"/>
      <c r="AA29" s="1962">
        <f>ROUND(SUM(AA16+AA20+AA23+AA27),1)</f>
        <v>46857.9</v>
      </c>
      <c r="AB29" s="1958"/>
      <c r="AC29" s="1959"/>
      <c r="AD29" s="1962">
        <f>ROUND(SUM(AD16+AD20+AD23+AD27),1)</f>
        <v>29311.1</v>
      </c>
      <c r="AE29" s="2627"/>
      <c r="AF29" s="2638"/>
      <c r="AG29" s="1962">
        <f>ROUND(SUM(AG16+AG20+AG23+AG27),1)</f>
        <v>17546.8</v>
      </c>
      <c r="AH29" s="2611"/>
      <c r="AI29" s="1441">
        <f>ROUND(IF(AD29=0,0,AG29/ABS(AD29)),3)</f>
        <v>0.59899999999999998</v>
      </c>
    </row>
    <row r="30" spans="1:35" ht="14.25" customHeight="1">
      <c r="A30" s="2417"/>
      <c r="B30" s="1427"/>
      <c r="C30" s="1427"/>
      <c r="D30" s="1427"/>
      <c r="E30" s="1427"/>
      <c r="F30" s="1427"/>
      <c r="G30" s="1427"/>
      <c r="H30" s="1427"/>
      <c r="I30" s="1443"/>
      <c r="J30" s="1985"/>
      <c r="K30" s="1443"/>
      <c r="L30" s="1985"/>
      <c r="M30" s="1443"/>
      <c r="N30" s="1985"/>
      <c r="O30" s="1443"/>
      <c r="P30" s="1985"/>
      <c r="Q30" s="1443"/>
      <c r="R30" s="1985"/>
      <c r="S30" s="1443"/>
      <c r="T30" s="1985"/>
      <c r="U30" s="1443"/>
      <c r="V30" s="1985"/>
      <c r="W30" s="1443"/>
      <c r="X30" s="1985"/>
      <c r="Y30" s="2641"/>
      <c r="Z30" s="1443"/>
      <c r="AA30" s="1427"/>
      <c r="AB30" s="1958"/>
      <c r="AC30" s="1959"/>
      <c r="AD30" s="1979"/>
      <c r="AE30" s="2627"/>
      <c r="AF30" s="2638"/>
      <c r="AG30" s="2639"/>
      <c r="AH30" s="1440"/>
      <c r="AI30" s="1443"/>
    </row>
    <row r="31" spans="1:35" ht="14.25" customHeight="1">
      <c r="A31" s="2417" t="s">
        <v>929</v>
      </c>
      <c r="B31" s="1963"/>
      <c r="C31" s="1977"/>
      <c r="D31" s="1977"/>
      <c r="E31" s="1977"/>
      <c r="F31" s="1977"/>
      <c r="G31" s="1977"/>
      <c r="H31" s="1977"/>
      <c r="I31" s="1957"/>
      <c r="J31" s="1957"/>
      <c r="K31" s="1957"/>
      <c r="L31" s="1957"/>
      <c r="M31" s="1957"/>
      <c r="N31" s="1957"/>
      <c r="O31" s="1957"/>
      <c r="P31" s="1957"/>
      <c r="Q31" s="1957"/>
      <c r="R31" s="1957"/>
      <c r="S31" s="1957"/>
      <c r="T31" s="1957"/>
      <c r="U31" s="1957"/>
      <c r="V31" s="1957"/>
      <c r="W31" s="1957"/>
      <c r="X31" s="1957"/>
      <c r="Y31" s="1964"/>
      <c r="Z31" s="1957"/>
      <c r="AA31" s="1963"/>
      <c r="AB31" s="1964"/>
      <c r="AC31" s="1957"/>
      <c r="AD31" s="1963"/>
      <c r="AE31" s="2646"/>
      <c r="AF31" s="2647"/>
      <c r="AG31" s="2642"/>
      <c r="AH31" s="1440"/>
      <c r="AI31" s="1442"/>
    </row>
    <row r="32" spans="1:35" ht="14.25" customHeight="1">
      <c r="A32" s="2440" t="s">
        <v>1045</v>
      </c>
      <c r="B32" s="1963"/>
      <c r="C32" s="1977"/>
      <c r="D32" s="1977"/>
      <c r="E32" s="1977"/>
      <c r="F32" s="1977"/>
      <c r="G32" s="1977"/>
      <c r="H32" s="1977"/>
      <c r="I32" s="1957"/>
      <c r="J32" s="1957"/>
      <c r="K32" s="1957"/>
      <c r="L32" s="1957"/>
      <c r="M32" s="1957"/>
      <c r="N32" s="1957"/>
      <c r="O32" s="1957"/>
      <c r="P32" s="1957"/>
      <c r="Q32" s="1957"/>
      <c r="R32" s="1957"/>
      <c r="S32" s="1957"/>
      <c r="T32" s="1957"/>
      <c r="U32" s="1957"/>
      <c r="V32" s="1957"/>
      <c r="W32" s="1957"/>
      <c r="X32" s="1957"/>
      <c r="Y32" s="1965"/>
      <c r="Z32" s="1957"/>
      <c r="AA32" s="1963"/>
      <c r="AB32" s="1965"/>
      <c r="AC32" s="1957"/>
      <c r="AD32" s="1963"/>
      <c r="AE32" s="2646"/>
      <c r="AF32" s="2647"/>
      <c r="AG32" s="2642"/>
      <c r="AH32" s="1440"/>
      <c r="AI32" s="1442"/>
    </row>
    <row r="33" spans="1:35" ht="14.25" customHeight="1">
      <c r="A33" s="2440" t="s">
        <v>933</v>
      </c>
      <c r="B33" s="1352">
        <v>0</v>
      </c>
      <c r="C33" s="1977"/>
      <c r="D33" s="1352">
        <v>0</v>
      </c>
      <c r="E33" s="1977"/>
      <c r="F33" s="1352">
        <v>0</v>
      </c>
      <c r="G33" s="1977"/>
      <c r="H33" s="1352">
        <v>0</v>
      </c>
      <c r="I33" s="2560"/>
      <c r="J33" s="1352">
        <v>0</v>
      </c>
      <c r="K33" s="2560"/>
      <c r="L33" s="1352">
        <v>0</v>
      </c>
      <c r="M33" s="2560"/>
      <c r="N33" s="1352">
        <v>0</v>
      </c>
      <c r="O33" s="2560"/>
      <c r="P33" s="1768">
        <v>0</v>
      </c>
      <c r="Q33" s="2560"/>
      <c r="R33" s="1768">
        <v>0</v>
      </c>
      <c r="S33" s="2560"/>
      <c r="T33" s="1768">
        <f>$AA33-$B33-$D33-$F33-$H33-$J33-$L33-$N33-R33-P33</f>
        <v>0</v>
      </c>
      <c r="U33" s="2560"/>
      <c r="V33" s="1768"/>
      <c r="W33" s="2560"/>
      <c r="X33" s="1768"/>
      <c r="Y33" s="2641"/>
      <c r="Z33" s="1443"/>
      <c r="AA33" s="1768">
        <v>0</v>
      </c>
      <c r="AB33" s="1958"/>
      <c r="AC33" s="1959"/>
      <c r="AD33" s="1768">
        <v>0</v>
      </c>
      <c r="AE33" s="2646"/>
      <c r="AF33" s="2647"/>
      <c r="AG33" s="2642">
        <f>ROUND(SUM(AA33-AD33),1)</f>
        <v>0</v>
      </c>
      <c r="AH33" s="1440"/>
      <c r="AI33" s="1410">
        <f>ROUND(IF(AD33=0,0,AG33/ABS(AD33)),3)</f>
        <v>0</v>
      </c>
    </row>
    <row r="34" spans="1:35" ht="14.25" customHeight="1">
      <c r="A34" s="2440" t="s">
        <v>1049</v>
      </c>
      <c r="B34" s="1352" t="s">
        <v>14</v>
      </c>
      <c r="C34" s="1977"/>
      <c r="D34" s="1352"/>
      <c r="E34" s="1977"/>
      <c r="F34" s="1352"/>
      <c r="G34" s="1977"/>
      <c r="H34" s="1352"/>
      <c r="I34" s="2560"/>
      <c r="J34" s="1352"/>
      <c r="K34" s="2560"/>
      <c r="L34" s="1352"/>
      <c r="M34" s="2560"/>
      <c r="N34" s="1352"/>
      <c r="O34" s="2560"/>
      <c r="P34" s="1768"/>
      <c r="Q34" s="2560"/>
      <c r="R34" s="1768"/>
      <c r="S34" s="2560"/>
      <c r="T34" s="1768"/>
      <c r="U34" s="2560"/>
      <c r="V34" s="1768"/>
      <c r="W34" s="2560"/>
      <c r="X34" s="1768"/>
      <c r="Y34" s="2641"/>
      <c r="Z34" s="1443"/>
      <c r="AA34" s="1768"/>
      <c r="AB34" s="1958"/>
      <c r="AC34" s="1959"/>
      <c r="AD34" s="1768"/>
      <c r="AE34" s="2646"/>
      <c r="AF34" s="2647"/>
      <c r="AG34" s="2642"/>
      <c r="AH34" s="1440"/>
      <c r="AI34" s="1442"/>
    </row>
    <row r="35" spans="1:35" ht="14.25" customHeight="1">
      <c r="A35" s="2440" t="s">
        <v>936</v>
      </c>
      <c r="B35" s="1352">
        <v>0</v>
      </c>
      <c r="C35" s="1977"/>
      <c r="D35" s="1352">
        <v>0</v>
      </c>
      <c r="E35" s="1977"/>
      <c r="F35" s="1352">
        <v>0</v>
      </c>
      <c r="G35" s="1977"/>
      <c r="H35" s="1352">
        <v>0</v>
      </c>
      <c r="I35" s="2560"/>
      <c r="J35" s="1352">
        <v>0</v>
      </c>
      <c r="K35" s="2560"/>
      <c r="L35" s="1352">
        <v>0</v>
      </c>
      <c r="M35" s="2560"/>
      <c r="N35" s="1352">
        <v>0</v>
      </c>
      <c r="O35" s="2560"/>
      <c r="P35" s="1768">
        <v>0</v>
      </c>
      <c r="Q35" s="2560"/>
      <c r="R35" s="1768">
        <v>0</v>
      </c>
      <c r="S35" s="2560"/>
      <c r="T35" s="1768">
        <f t="shared" ref="T35:T42" si="1">$AA35-$B35-$D35-$F35-$H35-$J35-$L35-$N35-R35-P35</f>
        <v>0</v>
      </c>
      <c r="U35" s="2560"/>
      <c r="V35" s="1768"/>
      <c r="W35" s="2560"/>
      <c r="X35" s="1768"/>
      <c r="Y35" s="2641"/>
      <c r="Z35" s="1443"/>
      <c r="AA35" s="1768">
        <v>0</v>
      </c>
      <c r="AB35" s="1958"/>
      <c r="AC35" s="1959"/>
      <c r="AD35" s="1768">
        <v>0</v>
      </c>
      <c r="AE35" s="2646"/>
      <c r="AF35" s="2647"/>
      <c r="AG35" s="2642">
        <f t="shared" ref="AG35:AG45" si="2">ROUND(SUM(AA35-AD35),1)</f>
        <v>0</v>
      </c>
      <c r="AH35" s="1440"/>
      <c r="AI35" s="1410">
        <f t="shared" ref="AI35:AI45" si="3">ROUND(IF(AD35=0,0,AG35/ABS(AD35)),3)</f>
        <v>0</v>
      </c>
    </row>
    <row r="36" spans="1:35" ht="14.25" customHeight="1">
      <c r="A36" s="2440" t="s">
        <v>937</v>
      </c>
      <c r="B36" s="1352">
        <v>0</v>
      </c>
      <c r="C36" s="1977"/>
      <c r="D36" s="1352">
        <v>0</v>
      </c>
      <c r="E36" s="1977"/>
      <c r="F36" s="1352">
        <v>0</v>
      </c>
      <c r="G36" s="1977"/>
      <c r="H36" s="1352">
        <v>0</v>
      </c>
      <c r="I36" s="2560"/>
      <c r="J36" s="1352">
        <v>0</v>
      </c>
      <c r="K36" s="2560"/>
      <c r="L36" s="1352">
        <v>0</v>
      </c>
      <c r="M36" s="2560"/>
      <c r="N36" s="1352">
        <v>0</v>
      </c>
      <c r="O36" s="2560"/>
      <c r="P36" s="1768">
        <v>0</v>
      </c>
      <c r="Q36" s="2560"/>
      <c r="R36" s="1768">
        <v>0</v>
      </c>
      <c r="S36" s="2560"/>
      <c r="T36" s="1768">
        <f t="shared" si="1"/>
        <v>0</v>
      </c>
      <c r="U36" s="2560"/>
      <c r="V36" s="1768"/>
      <c r="W36" s="2560"/>
      <c r="X36" s="1768"/>
      <c r="Y36" s="2641"/>
      <c r="Z36" s="1443"/>
      <c r="AA36" s="1768">
        <v>0</v>
      </c>
      <c r="AB36" s="1958"/>
      <c r="AC36" s="1959"/>
      <c r="AD36" s="1768">
        <v>0</v>
      </c>
      <c r="AE36" s="2646"/>
      <c r="AF36" s="2647"/>
      <c r="AG36" s="2642">
        <f t="shared" si="2"/>
        <v>0</v>
      </c>
      <c r="AH36" s="1440"/>
      <c r="AI36" s="1410">
        <f t="shared" si="3"/>
        <v>0</v>
      </c>
    </row>
    <row r="37" spans="1:35" ht="14.25" customHeight="1">
      <c r="A37" s="2440" t="s">
        <v>938</v>
      </c>
      <c r="B37" s="1352">
        <v>0</v>
      </c>
      <c r="C37" s="1977"/>
      <c r="D37" s="1352">
        <v>0</v>
      </c>
      <c r="E37" s="1977"/>
      <c r="F37" s="1352">
        <v>0</v>
      </c>
      <c r="G37" s="1977"/>
      <c r="H37" s="1352">
        <v>0</v>
      </c>
      <c r="I37" s="2560"/>
      <c r="J37" s="1352">
        <v>0</v>
      </c>
      <c r="K37" s="2560"/>
      <c r="L37" s="1352">
        <v>0</v>
      </c>
      <c r="M37" s="2560"/>
      <c r="N37" s="1352">
        <v>0</v>
      </c>
      <c r="O37" s="2560"/>
      <c r="P37" s="1768">
        <v>0</v>
      </c>
      <c r="Q37" s="2560"/>
      <c r="R37" s="1768">
        <v>0</v>
      </c>
      <c r="S37" s="2560"/>
      <c r="T37" s="1768">
        <f t="shared" si="1"/>
        <v>0</v>
      </c>
      <c r="U37" s="2560"/>
      <c r="V37" s="1768"/>
      <c r="W37" s="2560"/>
      <c r="X37" s="1768"/>
      <c r="Y37" s="2641"/>
      <c r="Z37" s="1443"/>
      <c r="AA37" s="1768">
        <v>0</v>
      </c>
      <c r="AB37" s="1958"/>
      <c r="AC37" s="1959"/>
      <c r="AD37" s="1768">
        <v>0</v>
      </c>
      <c r="AE37" s="2646"/>
      <c r="AF37" s="2647"/>
      <c r="AG37" s="2642">
        <f t="shared" si="2"/>
        <v>0</v>
      </c>
      <c r="AH37" s="1440"/>
      <c r="AI37" s="1410">
        <f t="shared" si="3"/>
        <v>0</v>
      </c>
    </row>
    <row r="38" spans="1:35" ht="14.25" customHeight="1">
      <c r="A38" s="2440" t="s">
        <v>939</v>
      </c>
      <c r="B38" s="1352">
        <v>0</v>
      </c>
      <c r="C38" s="1977"/>
      <c r="D38" s="1352">
        <v>0</v>
      </c>
      <c r="E38" s="1977"/>
      <c r="F38" s="1352">
        <v>0</v>
      </c>
      <c r="G38" s="1977"/>
      <c r="H38" s="1352">
        <v>0</v>
      </c>
      <c r="I38" s="2560"/>
      <c r="J38" s="1352">
        <v>0</v>
      </c>
      <c r="K38" s="2560"/>
      <c r="L38" s="1352">
        <v>0</v>
      </c>
      <c r="M38" s="2560"/>
      <c r="N38" s="1352">
        <v>0</v>
      </c>
      <c r="O38" s="2560"/>
      <c r="P38" s="1768">
        <v>0</v>
      </c>
      <c r="Q38" s="2560"/>
      <c r="R38" s="1768">
        <v>0</v>
      </c>
      <c r="S38" s="2560"/>
      <c r="T38" s="1768">
        <f t="shared" si="1"/>
        <v>0</v>
      </c>
      <c r="U38" s="2560"/>
      <c r="V38" s="1768"/>
      <c r="W38" s="2560"/>
      <c r="X38" s="1768"/>
      <c r="Y38" s="2641"/>
      <c r="Z38" s="1443"/>
      <c r="AA38" s="1768">
        <v>0</v>
      </c>
      <c r="AB38" s="1958"/>
      <c r="AC38" s="1959"/>
      <c r="AD38" s="1768">
        <v>0</v>
      </c>
      <c r="AE38" s="2646"/>
      <c r="AF38" s="2647"/>
      <c r="AG38" s="2642">
        <f t="shared" si="2"/>
        <v>0</v>
      </c>
      <c r="AH38" s="1440"/>
      <c r="AI38" s="1410">
        <f t="shared" si="3"/>
        <v>0</v>
      </c>
    </row>
    <row r="39" spans="1:35" ht="14.25" customHeight="1">
      <c r="A39" s="2440" t="s">
        <v>940</v>
      </c>
      <c r="B39" s="1352">
        <v>0</v>
      </c>
      <c r="C39" s="1977"/>
      <c r="D39" s="1352">
        <v>0</v>
      </c>
      <c r="E39" s="1977"/>
      <c r="F39" s="1352">
        <v>0</v>
      </c>
      <c r="G39" s="1977"/>
      <c r="H39" s="1352">
        <v>0</v>
      </c>
      <c r="I39" s="2560"/>
      <c r="J39" s="1352">
        <v>0</v>
      </c>
      <c r="K39" s="2560"/>
      <c r="L39" s="1352">
        <v>0</v>
      </c>
      <c r="M39" s="2560"/>
      <c r="N39" s="1352">
        <v>0</v>
      </c>
      <c r="O39" s="2560"/>
      <c r="P39" s="1768">
        <v>0</v>
      </c>
      <c r="Q39" s="2560"/>
      <c r="R39" s="1768">
        <v>0</v>
      </c>
      <c r="S39" s="2560"/>
      <c r="T39" s="1768">
        <f t="shared" si="1"/>
        <v>0</v>
      </c>
      <c r="U39" s="2560"/>
      <c r="V39" s="1768"/>
      <c r="W39" s="2560"/>
      <c r="X39" s="1768"/>
      <c r="Y39" s="2641"/>
      <c r="Z39" s="1443"/>
      <c r="AA39" s="1768">
        <v>0</v>
      </c>
      <c r="AB39" s="1958"/>
      <c r="AC39" s="1959"/>
      <c r="AD39" s="1768">
        <v>0</v>
      </c>
      <c r="AE39" s="2646"/>
      <c r="AF39" s="2647"/>
      <c r="AG39" s="2642">
        <f t="shared" si="2"/>
        <v>0</v>
      </c>
      <c r="AH39" s="1440"/>
      <c r="AI39" s="1410">
        <f t="shared" si="3"/>
        <v>0</v>
      </c>
    </row>
    <row r="40" spans="1:35" ht="14.25" customHeight="1">
      <c r="A40" s="2440" t="s">
        <v>941</v>
      </c>
      <c r="B40" s="1352">
        <v>0</v>
      </c>
      <c r="C40" s="1977"/>
      <c r="D40" s="1352">
        <v>0</v>
      </c>
      <c r="E40" s="1977"/>
      <c r="F40" s="1352">
        <v>0</v>
      </c>
      <c r="G40" s="1977"/>
      <c r="H40" s="1352">
        <v>0</v>
      </c>
      <c r="I40" s="2560"/>
      <c r="J40" s="1352">
        <v>0</v>
      </c>
      <c r="K40" s="2560"/>
      <c r="L40" s="1352">
        <v>0</v>
      </c>
      <c r="M40" s="2560"/>
      <c r="N40" s="1352">
        <v>0</v>
      </c>
      <c r="O40" s="2560"/>
      <c r="P40" s="1768">
        <v>0</v>
      </c>
      <c r="Q40" s="2560"/>
      <c r="R40" s="1768">
        <v>0</v>
      </c>
      <c r="S40" s="2560"/>
      <c r="T40" s="1768">
        <f t="shared" si="1"/>
        <v>0</v>
      </c>
      <c r="U40" s="2560"/>
      <c r="V40" s="1768"/>
      <c r="W40" s="2560"/>
      <c r="X40" s="1768"/>
      <c r="Y40" s="2641"/>
      <c r="Z40" s="1443"/>
      <c r="AA40" s="1768">
        <v>0</v>
      </c>
      <c r="AB40" s="1958"/>
      <c r="AC40" s="1959"/>
      <c r="AD40" s="1768">
        <v>0</v>
      </c>
      <c r="AE40" s="2646"/>
      <c r="AF40" s="2647"/>
      <c r="AG40" s="2642">
        <f t="shared" si="2"/>
        <v>0</v>
      </c>
      <c r="AH40" s="1440"/>
      <c r="AI40" s="1410">
        <f t="shared" si="3"/>
        <v>0</v>
      </c>
    </row>
    <row r="41" spans="1:35" ht="14.25" customHeight="1">
      <c r="A41" s="2440" t="s">
        <v>931</v>
      </c>
      <c r="B41" s="1352">
        <v>0</v>
      </c>
      <c r="C41" s="1977"/>
      <c r="D41" s="1352">
        <v>0</v>
      </c>
      <c r="E41" s="1977"/>
      <c r="F41" s="1352">
        <v>0</v>
      </c>
      <c r="G41" s="1977"/>
      <c r="H41" s="1352">
        <v>0</v>
      </c>
      <c r="I41" s="2560"/>
      <c r="J41" s="1352">
        <v>0</v>
      </c>
      <c r="K41" s="2560"/>
      <c r="L41" s="1352">
        <v>0</v>
      </c>
      <c r="M41" s="2560"/>
      <c r="N41" s="1352">
        <v>0</v>
      </c>
      <c r="O41" s="2560"/>
      <c r="P41" s="1768">
        <v>0</v>
      </c>
      <c r="Q41" s="2560"/>
      <c r="R41" s="1768">
        <v>0</v>
      </c>
      <c r="S41" s="2560"/>
      <c r="T41" s="1768">
        <f t="shared" si="1"/>
        <v>0</v>
      </c>
      <c r="U41" s="2560"/>
      <c r="V41" s="1768"/>
      <c r="W41" s="2560"/>
      <c r="X41" s="1768"/>
      <c r="Y41" s="2641"/>
      <c r="Z41" s="1443"/>
      <c r="AA41" s="1768">
        <v>0</v>
      </c>
      <c r="AB41" s="1958"/>
      <c r="AC41" s="1959"/>
      <c r="AD41" s="1768">
        <v>0.3</v>
      </c>
      <c r="AE41" s="2646"/>
      <c r="AF41" s="2647"/>
      <c r="AG41" s="2642">
        <f t="shared" si="2"/>
        <v>-0.3</v>
      </c>
      <c r="AH41" s="1440"/>
      <c r="AI41" s="1410">
        <f>ROUND(IF(AD41=0,1,AG41/ABS(AD41)),3)</f>
        <v>-1</v>
      </c>
    </row>
    <row r="42" spans="1:35" ht="14.25" customHeight="1">
      <c r="A42" s="2440" t="s">
        <v>948</v>
      </c>
      <c r="B42" s="1352">
        <v>0</v>
      </c>
      <c r="C42" s="1977"/>
      <c r="D42" s="1352">
        <v>0.3</v>
      </c>
      <c r="E42" s="1977"/>
      <c r="F42" s="1352">
        <v>0</v>
      </c>
      <c r="G42" s="1977"/>
      <c r="H42" s="1352">
        <v>0.10000000000000003</v>
      </c>
      <c r="I42" s="2560"/>
      <c r="J42" s="1352">
        <v>0</v>
      </c>
      <c r="K42" s="2560"/>
      <c r="L42" s="1352">
        <v>1.7</v>
      </c>
      <c r="M42" s="2560"/>
      <c r="N42" s="1352">
        <v>0</v>
      </c>
      <c r="O42" s="2560"/>
      <c r="P42" s="1768">
        <v>0.30000000000000004</v>
      </c>
      <c r="Q42" s="2560"/>
      <c r="R42" s="1768">
        <v>0.10000000000000009</v>
      </c>
      <c r="S42" s="2560"/>
      <c r="T42" s="1768">
        <f t="shared" si="1"/>
        <v>0</v>
      </c>
      <c r="U42" s="2560"/>
      <c r="V42" s="1768"/>
      <c r="W42" s="2560"/>
      <c r="X42" s="1768"/>
      <c r="Y42" s="2641"/>
      <c r="Z42" s="1443"/>
      <c r="AA42" s="1768">
        <v>2.5</v>
      </c>
      <c r="AB42" s="1958"/>
      <c r="AC42" s="1959"/>
      <c r="AD42" s="1768">
        <v>3.1</v>
      </c>
      <c r="AE42" s="2646"/>
      <c r="AF42" s="2647"/>
      <c r="AG42" s="2642">
        <f>ROUND(SUM(AA42-AD42),1)</f>
        <v>-0.6</v>
      </c>
      <c r="AH42" s="1440"/>
      <c r="AI42" s="1410">
        <f>ROUND(IF(AD42=0,0,AG42/ABS(AD42)),3)</f>
        <v>-0.19400000000000001</v>
      </c>
    </row>
    <row r="43" spans="1:35" ht="14.25" customHeight="1">
      <c r="A43" s="2440" t="s">
        <v>1047</v>
      </c>
      <c r="B43" s="1352"/>
      <c r="C43" s="1977"/>
      <c r="D43" s="1352"/>
      <c r="E43" s="1977"/>
      <c r="F43" s="1352"/>
      <c r="G43" s="1977"/>
      <c r="H43" s="1352"/>
      <c r="I43" s="2560"/>
      <c r="J43" s="1352"/>
      <c r="K43" s="2560"/>
      <c r="L43" s="1352"/>
      <c r="M43" s="2560"/>
      <c r="N43" s="1352"/>
      <c r="O43" s="2560"/>
      <c r="P43" s="1768"/>
      <c r="Q43" s="2560"/>
      <c r="R43" s="1768"/>
      <c r="S43" s="2560"/>
      <c r="T43" s="1768"/>
      <c r="U43" s="2560"/>
      <c r="V43" s="1768"/>
      <c r="W43" s="2560"/>
      <c r="X43" s="1768"/>
      <c r="Y43" s="2648"/>
      <c r="Z43" s="1443"/>
      <c r="AA43" s="1768" t="s">
        <v>14</v>
      </c>
      <c r="AB43" s="2137"/>
      <c r="AC43" s="3489" t="s">
        <v>14</v>
      </c>
      <c r="AD43" s="1768" t="s">
        <v>14</v>
      </c>
      <c r="AE43" s="2646"/>
      <c r="AF43" s="3783" t="s">
        <v>14</v>
      </c>
      <c r="AG43" s="3784" t="s">
        <v>14</v>
      </c>
      <c r="AH43" s="1440"/>
      <c r="AI43" s="1410" t="s">
        <v>14</v>
      </c>
    </row>
    <row r="44" spans="1:35" ht="14.25" customHeight="1">
      <c r="A44" s="2440" t="s">
        <v>974</v>
      </c>
      <c r="B44" s="1352">
        <v>0</v>
      </c>
      <c r="C44" s="1977"/>
      <c r="D44" s="1352">
        <v>0</v>
      </c>
      <c r="E44" s="1977"/>
      <c r="F44" s="1352">
        <v>0</v>
      </c>
      <c r="G44" s="1977"/>
      <c r="H44" s="1352">
        <v>0</v>
      </c>
      <c r="I44" s="2560"/>
      <c r="J44" s="1352">
        <v>0</v>
      </c>
      <c r="K44" s="2560"/>
      <c r="L44" s="1352">
        <v>0</v>
      </c>
      <c r="M44" s="2560"/>
      <c r="N44" s="1352">
        <v>0</v>
      </c>
      <c r="O44" s="2560"/>
      <c r="P44" s="1768">
        <v>0</v>
      </c>
      <c r="Q44" s="2560"/>
      <c r="R44" s="1768">
        <v>0</v>
      </c>
      <c r="S44" s="2560"/>
      <c r="T44" s="1768">
        <f t="shared" ref="T44:T45" si="4">$AA44-$B44-$D44-$F44-$H44-$J44-$L44-$N44-R44-P44</f>
        <v>0</v>
      </c>
      <c r="U44" s="2560"/>
      <c r="V44" s="1768"/>
      <c r="W44" s="2560"/>
      <c r="X44" s="1768"/>
      <c r="Y44" s="2648"/>
      <c r="Z44" s="1443"/>
      <c r="AA44" s="1768">
        <v>0</v>
      </c>
      <c r="AB44" s="2137"/>
      <c r="AC44" s="1959"/>
      <c r="AD44" s="1768">
        <v>0.4</v>
      </c>
      <c r="AE44" s="2646"/>
      <c r="AF44" s="2647"/>
      <c r="AG44" s="2642">
        <f>ROUND(SUM(AA44-AD44),1)</f>
        <v>-0.4</v>
      </c>
      <c r="AH44" s="1440"/>
      <c r="AI44" s="1410">
        <f>ROUND(IF(AD44=0,0,AG44/ABS(AD44)),3)</f>
        <v>-1</v>
      </c>
    </row>
    <row r="45" spans="1:35" ht="14.25" customHeight="1">
      <c r="A45" s="2440" t="s">
        <v>949</v>
      </c>
      <c r="B45" s="1352">
        <v>0</v>
      </c>
      <c r="C45" s="1977"/>
      <c r="D45" s="1352">
        <v>0</v>
      </c>
      <c r="E45" s="1977"/>
      <c r="F45" s="1352">
        <v>0</v>
      </c>
      <c r="G45" s="1977"/>
      <c r="H45" s="1352">
        <v>0</v>
      </c>
      <c r="I45" s="2560"/>
      <c r="J45" s="1352">
        <v>0</v>
      </c>
      <c r="K45" s="2560"/>
      <c r="L45" s="1352">
        <v>0</v>
      </c>
      <c r="M45" s="2560"/>
      <c r="N45" s="1352">
        <v>0</v>
      </c>
      <c r="O45" s="2560"/>
      <c r="P45" s="1768">
        <v>0</v>
      </c>
      <c r="Q45" s="2560"/>
      <c r="R45" s="1768">
        <v>0</v>
      </c>
      <c r="S45" s="2560"/>
      <c r="T45" s="1768">
        <f t="shared" si="4"/>
        <v>0</v>
      </c>
      <c r="U45" s="2560"/>
      <c r="V45" s="1768"/>
      <c r="W45" s="2560"/>
      <c r="X45" s="1768"/>
      <c r="Y45" s="2641"/>
      <c r="Z45" s="1443"/>
      <c r="AA45" s="1768">
        <v>0</v>
      </c>
      <c r="AB45" s="1958"/>
      <c r="AC45" s="1959"/>
      <c r="AD45" s="1768">
        <v>0</v>
      </c>
      <c r="AE45" s="2646"/>
      <c r="AF45" s="2647"/>
      <c r="AG45" s="2642">
        <f t="shared" si="2"/>
        <v>0</v>
      </c>
      <c r="AH45" s="1440"/>
      <c r="AI45" s="1410">
        <f t="shared" si="3"/>
        <v>0</v>
      </c>
    </row>
    <row r="46" spans="1:35" ht="14.25" customHeight="1">
      <c r="A46" s="2440" t="s">
        <v>1048</v>
      </c>
      <c r="B46" s="1352" t="s">
        <v>14</v>
      </c>
      <c r="C46" s="1977"/>
      <c r="D46" s="1352"/>
      <c r="E46" s="1977"/>
      <c r="F46" s="1352"/>
      <c r="G46" s="1977"/>
      <c r="H46" s="1352"/>
      <c r="I46" s="2560"/>
      <c r="J46" s="1352"/>
      <c r="K46" s="2560"/>
      <c r="L46" s="1352"/>
      <c r="M46" s="2560"/>
      <c r="N46" s="1352"/>
      <c r="O46" s="2560"/>
      <c r="P46" s="1768"/>
      <c r="Q46" s="2560"/>
      <c r="R46" s="1768"/>
      <c r="S46" s="2560"/>
      <c r="T46" s="1768"/>
      <c r="U46" s="2560"/>
      <c r="V46" s="1768"/>
      <c r="W46" s="2560"/>
      <c r="X46" s="1768"/>
      <c r="Y46" s="2641"/>
      <c r="Z46" s="1443"/>
      <c r="AA46" s="1768"/>
      <c r="AB46" s="1958"/>
      <c r="AC46" s="1959"/>
      <c r="AD46" s="1768"/>
      <c r="AE46" s="2646"/>
      <c r="AF46" s="2647"/>
      <c r="AG46" s="2642"/>
      <c r="AH46" s="1440"/>
      <c r="AI46" s="1442"/>
    </row>
    <row r="47" spans="1:35" ht="14.25" customHeight="1">
      <c r="A47" s="2440" t="s">
        <v>1114</v>
      </c>
      <c r="B47" s="1352">
        <v>43.2</v>
      </c>
      <c r="C47" s="1977"/>
      <c r="D47" s="1352">
        <v>38.799999999999997</v>
      </c>
      <c r="E47" s="1977"/>
      <c r="F47" s="1352">
        <v>47.800000000000011</v>
      </c>
      <c r="G47" s="1977"/>
      <c r="H47" s="1352">
        <v>34.599999999999994</v>
      </c>
      <c r="I47" s="2560"/>
      <c r="J47" s="1352">
        <v>14.100000000000009</v>
      </c>
      <c r="K47" s="2560"/>
      <c r="L47" s="1352">
        <v>41.399999999999963</v>
      </c>
      <c r="M47" s="2560"/>
      <c r="N47" s="1352">
        <v>20.400000000000034</v>
      </c>
      <c r="O47" s="2560"/>
      <c r="P47" s="1768">
        <v>66.100000000000023</v>
      </c>
      <c r="Q47" s="2560"/>
      <c r="R47" s="1768">
        <v>9.2000000000000028</v>
      </c>
      <c r="S47" s="2560"/>
      <c r="T47" s="1768">
        <f t="shared" ref="T47:T49" si="5">$AA47-$B47-$D47-$F47-$H47-$J47-$L47-$N47-R47-P47</f>
        <v>48.599999999999952</v>
      </c>
      <c r="U47" s="2560"/>
      <c r="V47" s="1768"/>
      <c r="W47" s="2560"/>
      <c r="X47" s="1768"/>
      <c r="Y47" s="2641"/>
      <c r="Z47" s="1443"/>
      <c r="AA47" s="1768">
        <v>364.2</v>
      </c>
      <c r="AB47" s="1958"/>
      <c r="AC47" s="1959"/>
      <c r="AD47" s="1768">
        <v>340.3</v>
      </c>
      <c r="AE47" s="2646"/>
      <c r="AF47" s="2647"/>
      <c r="AG47" s="2642">
        <f>ROUND(SUM(AA47-AD47),1)</f>
        <v>23.9</v>
      </c>
      <c r="AH47" s="1440"/>
      <c r="AI47" s="1449">
        <f>ROUND(IF(AD47=0,0,AG47/ABS(AD47)),3)</f>
        <v>7.0000000000000007E-2</v>
      </c>
    </row>
    <row r="48" spans="1:35" ht="14.25" customHeight="1">
      <c r="A48" s="2440" t="s">
        <v>958</v>
      </c>
      <c r="B48" s="1352">
        <v>0</v>
      </c>
      <c r="C48" s="1977"/>
      <c r="D48" s="1352">
        <v>0</v>
      </c>
      <c r="E48" s="1977"/>
      <c r="F48" s="1352">
        <v>0</v>
      </c>
      <c r="G48" s="1977"/>
      <c r="H48" s="1352">
        <v>0</v>
      </c>
      <c r="I48" s="2560"/>
      <c r="J48" s="1352">
        <v>0.1</v>
      </c>
      <c r="K48" s="2560"/>
      <c r="L48" s="1352">
        <v>0</v>
      </c>
      <c r="M48" s="2560"/>
      <c r="N48" s="1352">
        <v>0</v>
      </c>
      <c r="O48" s="2560"/>
      <c r="P48" s="1768">
        <v>0</v>
      </c>
      <c r="Q48" s="2560"/>
      <c r="R48" s="1768">
        <v>0</v>
      </c>
      <c r="S48" s="2560"/>
      <c r="T48" s="1768">
        <f t="shared" si="5"/>
        <v>0</v>
      </c>
      <c r="U48" s="2560"/>
      <c r="V48" s="1768"/>
      <c r="W48" s="2560"/>
      <c r="X48" s="1768"/>
      <c r="Y48" s="2648"/>
      <c r="Z48" s="1443"/>
      <c r="AA48" s="1768">
        <v>0.1</v>
      </c>
      <c r="AB48" s="2137"/>
      <c r="AC48" s="1959"/>
      <c r="AD48" s="1768">
        <v>0</v>
      </c>
      <c r="AE48" s="2646"/>
      <c r="AF48" s="2647"/>
      <c r="AG48" s="2642">
        <f>ROUND(SUM(AA48-AD48),1)</f>
        <v>0.1</v>
      </c>
      <c r="AH48" s="1440"/>
      <c r="AI48" s="1410">
        <f>ROUND(IF(AD48=0,1,AG48/ABS(AD48)),3)</f>
        <v>1</v>
      </c>
    </row>
    <row r="49" spans="1:36" ht="14.25" customHeight="1">
      <c r="A49" s="2440" t="s">
        <v>959</v>
      </c>
      <c r="B49" s="1352">
        <v>0</v>
      </c>
      <c r="C49" s="1977"/>
      <c r="D49" s="1352">
        <v>0</v>
      </c>
      <c r="E49" s="1977"/>
      <c r="F49" s="1352">
        <v>0</v>
      </c>
      <c r="G49" s="1977"/>
      <c r="H49" s="1352">
        <v>0</v>
      </c>
      <c r="I49" s="2560"/>
      <c r="J49" s="1352">
        <v>0</v>
      </c>
      <c r="K49" s="2560"/>
      <c r="L49" s="1352">
        <v>0</v>
      </c>
      <c r="M49" s="2560"/>
      <c r="N49" s="1352">
        <v>0</v>
      </c>
      <c r="O49" s="2560"/>
      <c r="P49" s="1768">
        <v>0</v>
      </c>
      <c r="Q49" s="2560"/>
      <c r="R49" s="1768">
        <v>0</v>
      </c>
      <c r="S49" s="2560"/>
      <c r="T49" s="1768">
        <f t="shared" si="5"/>
        <v>0</v>
      </c>
      <c r="U49" s="2560"/>
      <c r="V49" s="1768"/>
      <c r="W49" s="2560"/>
      <c r="X49" s="1768"/>
      <c r="Y49" s="2641"/>
      <c r="Z49" s="1443"/>
      <c r="AA49" s="1768">
        <v>0</v>
      </c>
      <c r="AB49" s="1958"/>
      <c r="AC49" s="1959"/>
      <c r="AD49" s="1768">
        <v>0</v>
      </c>
      <c r="AE49" s="2646"/>
      <c r="AF49" s="2647"/>
      <c r="AG49" s="2642">
        <f>ROUND(SUM(AA49-AD49),1)</f>
        <v>0</v>
      </c>
      <c r="AH49" s="1440"/>
      <c r="AI49" s="1410">
        <f>ROUND(IF(AD49=0,0,AG49/ABS(AD49)),3)</f>
        <v>0</v>
      </c>
    </row>
    <row r="50" spans="1:36" s="2655" customFormat="1" ht="15.6">
      <c r="A50" s="2428" t="s">
        <v>993</v>
      </c>
      <c r="B50" s="2021">
        <f>ROUND(SUM(B33:B49),1)</f>
        <v>43.2</v>
      </c>
      <c r="C50" s="2649"/>
      <c r="D50" s="2021">
        <f>ROUND(SUM(D33:D49),1)</f>
        <v>39.1</v>
      </c>
      <c r="E50" s="2649"/>
      <c r="F50" s="2021">
        <f>ROUND(SUM(F33:F49),1)</f>
        <v>47.8</v>
      </c>
      <c r="G50" s="2649"/>
      <c r="H50" s="2021">
        <f>ROUND(SUM(H33:H49),1)</f>
        <v>34.700000000000003</v>
      </c>
      <c r="I50" s="2650"/>
      <c r="J50" s="2012">
        <f>ROUND(SUM(J33:J49),1)</f>
        <v>14.2</v>
      </c>
      <c r="K50" s="2650"/>
      <c r="L50" s="2012">
        <f>ROUND(SUM(L33:L49),1)</f>
        <v>43.1</v>
      </c>
      <c r="M50" s="2650"/>
      <c r="N50" s="2012">
        <f>ROUND(SUM(N33:N49),1)</f>
        <v>20.399999999999999</v>
      </c>
      <c r="O50" s="2650"/>
      <c r="P50" s="2012">
        <f>ROUND(SUM(P33:P49),1)</f>
        <v>66.400000000000006</v>
      </c>
      <c r="Q50" s="2650"/>
      <c r="R50" s="2012">
        <f>ROUND(SUM(R33:R49),1)</f>
        <v>9.3000000000000007</v>
      </c>
      <c r="S50" s="2650"/>
      <c r="T50" s="2012">
        <f>ROUND(SUM(T33:T49),1)</f>
        <v>48.6</v>
      </c>
      <c r="U50" s="2650"/>
      <c r="V50" s="1996">
        <f>ROUND(SUM(V33:V49),1)</f>
        <v>0</v>
      </c>
      <c r="W50" s="2650"/>
      <c r="X50" s="1996">
        <f>ROUND(SUM(X33:X49),1)</f>
        <v>0</v>
      </c>
      <c r="Y50" s="2651"/>
      <c r="Z50" s="2650"/>
      <c r="AA50" s="1996">
        <f>ROUND(SUM(AA33:AA49),1)</f>
        <v>366.8</v>
      </c>
      <c r="AB50" s="2651"/>
      <c r="AC50" s="2650"/>
      <c r="AD50" s="1996">
        <f>ROUND(SUM(AD33:AD49),1)</f>
        <v>344.1</v>
      </c>
      <c r="AE50" s="2652"/>
      <c r="AF50" s="2653"/>
      <c r="AG50" s="2012">
        <f>ROUND(SUM(AG33:AG49),1)</f>
        <v>22.7</v>
      </c>
      <c r="AH50" s="2611"/>
      <c r="AI50" s="2654">
        <f>ROUND(IF(AD50=0,0,AG50/ABS(AD50)),3)</f>
        <v>6.6000000000000003E-2</v>
      </c>
      <c r="AJ50" s="2607"/>
    </row>
    <row r="51" spans="1:36" s="2655" customFormat="1" ht="14.25" customHeight="1">
      <c r="A51" s="2428"/>
      <c r="B51" s="1428"/>
      <c r="C51" s="2649"/>
      <c r="D51" s="1428"/>
      <c r="E51" s="2649"/>
      <c r="F51" s="1428"/>
      <c r="G51" s="2649"/>
      <c r="H51" s="1428"/>
      <c r="I51" s="2650"/>
      <c r="J51" s="1428"/>
      <c r="K51" s="2650"/>
      <c r="L51" s="1428"/>
      <c r="M51" s="2650"/>
      <c r="N51" s="1428"/>
      <c r="O51" s="2650"/>
      <c r="P51" s="1428"/>
      <c r="Q51" s="2650"/>
      <c r="R51" s="1428"/>
      <c r="S51" s="2650"/>
      <c r="T51" s="1428"/>
      <c r="U51" s="2650"/>
      <c r="V51" s="1446"/>
      <c r="W51" s="2650"/>
      <c r="X51" s="1446"/>
      <c r="Y51" s="2656"/>
      <c r="Z51" s="2650"/>
      <c r="AA51" s="1446"/>
      <c r="AB51" s="2656"/>
      <c r="AC51" s="2650"/>
      <c r="AD51" s="1446"/>
      <c r="AE51" s="2652"/>
      <c r="AF51" s="2653"/>
      <c r="AG51" s="2657"/>
      <c r="AH51" s="2611"/>
      <c r="AI51" s="2635"/>
      <c r="AJ51" s="2607"/>
    </row>
    <row r="52" spans="1:36" ht="15">
      <c r="A52" s="2658" t="s">
        <v>847</v>
      </c>
      <c r="B52" s="1352">
        <v>0</v>
      </c>
      <c r="C52" s="2659"/>
      <c r="D52" s="1352">
        <v>0</v>
      </c>
      <c r="E52" s="2659"/>
      <c r="F52" s="1352">
        <v>0</v>
      </c>
      <c r="G52" s="1977"/>
      <c r="H52" s="1352">
        <v>1.5</v>
      </c>
      <c r="I52" s="1957"/>
      <c r="J52" s="1352">
        <v>28.7</v>
      </c>
      <c r="K52" s="1957"/>
      <c r="L52" s="1352">
        <v>0</v>
      </c>
      <c r="M52" s="1957"/>
      <c r="N52" s="1352">
        <v>0</v>
      </c>
      <c r="O52" s="1957"/>
      <c r="P52" s="1768">
        <v>0</v>
      </c>
      <c r="Q52" s="1957"/>
      <c r="R52" s="1768">
        <v>1.5</v>
      </c>
      <c r="S52" s="1957"/>
      <c r="T52" s="1768">
        <f>$AA52-$B52-$D52-$F52-$H52-$J52-$L52-$N52-R52-P52</f>
        <v>1.5000000000000036</v>
      </c>
      <c r="U52" s="1957"/>
      <c r="V52" s="1768"/>
      <c r="W52" s="1957"/>
      <c r="X52" s="1768"/>
      <c r="Y52" s="2660"/>
      <c r="Z52" s="1957"/>
      <c r="AA52" s="2661">
        <v>33.200000000000003</v>
      </c>
      <c r="AB52" s="2660"/>
      <c r="AC52" s="1957"/>
      <c r="AD52" s="2661">
        <v>36.9</v>
      </c>
      <c r="AE52" s="2646"/>
      <c r="AF52" s="2647"/>
      <c r="AG52" s="2662">
        <f>ROUND(SUM(AA52-AD52),1)</f>
        <v>-3.7</v>
      </c>
      <c r="AH52" s="1440"/>
      <c r="AI52" s="1411">
        <f>ROUND(IF(AD52=0,1,AG52/ABS(AD52)),3)</f>
        <v>-0.1</v>
      </c>
    </row>
    <row r="53" spans="1:36" ht="12" customHeight="1">
      <c r="A53" s="1443"/>
      <c r="B53" s="2663"/>
      <c r="C53" s="1977"/>
      <c r="D53" s="2663"/>
      <c r="E53" s="1977"/>
      <c r="F53" s="2663"/>
      <c r="G53" s="1977"/>
      <c r="H53" s="2663"/>
      <c r="I53" s="1957"/>
      <c r="J53" s="2664"/>
      <c r="K53" s="1957"/>
      <c r="L53" s="2664"/>
      <c r="M53" s="1957"/>
      <c r="N53" s="2664"/>
      <c r="O53" s="1957"/>
      <c r="P53" s="2664"/>
      <c r="Q53" s="1957"/>
      <c r="R53" s="2664"/>
      <c r="S53" s="1957"/>
      <c r="T53" s="2664"/>
      <c r="U53" s="1957"/>
      <c r="V53" s="2664"/>
      <c r="W53" s="1957"/>
      <c r="X53" s="2664"/>
      <c r="Y53" s="2660"/>
      <c r="Z53" s="1957"/>
      <c r="AA53" s="1977"/>
      <c r="AB53" s="2660"/>
      <c r="AC53" s="1957"/>
      <c r="AD53" s="1977"/>
      <c r="AE53" s="2646"/>
      <c r="AF53" s="2647"/>
      <c r="AG53" s="2642"/>
      <c r="AH53" s="1440"/>
      <c r="AI53" s="1443"/>
    </row>
    <row r="54" spans="1:36" ht="14.25" customHeight="1">
      <c r="A54" s="2428" t="s">
        <v>186</v>
      </c>
      <c r="B54" s="2665">
        <f>B29+B50+B52</f>
        <v>4299</v>
      </c>
      <c r="C54" s="2666"/>
      <c r="D54" s="2665">
        <f>ROUND(SUM(D29+D50+D52),1)</f>
        <v>5951</v>
      </c>
      <c r="E54" s="2667"/>
      <c r="F54" s="2665">
        <f>ROUND(SUM(F29+F50+F52),1)</f>
        <v>4280.3999999999996</v>
      </c>
      <c r="G54" s="2667"/>
      <c r="H54" s="2665">
        <f>ROUND(SUM(H29+H50+H52),1)</f>
        <v>2822.2</v>
      </c>
      <c r="I54" s="2668"/>
      <c r="J54" s="2669">
        <f>ROUND(SUM(J29+J50+J52),1)</f>
        <v>3021.9</v>
      </c>
      <c r="K54" s="2668"/>
      <c r="L54" s="2669">
        <f>ROUND(SUM(L29+L50+L52),1)</f>
        <v>4624.1000000000004</v>
      </c>
      <c r="M54" s="2668"/>
      <c r="N54" s="2669">
        <f>ROUND(SUM(N29+N50+N52),1)</f>
        <v>2783.7</v>
      </c>
      <c r="O54" s="2668"/>
      <c r="P54" s="2669">
        <f>ROUND(SUM(P29+P50+P52),1)</f>
        <v>2945.4</v>
      </c>
      <c r="Q54" s="2668"/>
      <c r="R54" s="2669">
        <f>ROUND(SUM(R29+R50+R52),1)</f>
        <v>9605.4</v>
      </c>
      <c r="S54" s="2668"/>
      <c r="T54" s="2669">
        <f>ROUND(SUM(T29+T50+T52),1)</f>
        <v>6924.8</v>
      </c>
      <c r="U54" s="2668"/>
      <c r="V54" s="2669">
        <f>ROUND(SUM(V29+V50+V52),1)</f>
        <v>0</v>
      </c>
      <c r="W54" s="2668"/>
      <c r="X54" s="2669">
        <f>ROUND(SUM(X29+X50+X52),1)</f>
        <v>0</v>
      </c>
      <c r="Y54" s="2651"/>
      <c r="Z54" s="2650"/>
      <c r="AA54" s="2669">
        <f>ROUND(SUM(AA29+AA50+AA52),1)</f>
        <v>47257.9</v>
      </c>
      <c r="AB54" s="2651"/>
      <c r="AC54" s="2650"/>
      <c r="AD54" s="2669">
        <f>ROUND(SUM(AD29+AD50+AD52),1)</f>
        <v>29692.1</v>
      </c>
      <c r="AE54" s="2652"/>
      <c r="AF54" s="2653"/>
      <c r="AG54" s="2669">
        <f>ROUND(SUM(AG29+AG50+AG52),1)</f>
        <v>17565.8</v>
      </c>
      <c r="AH54" s="2611"/>
      <c r="AI54" s="1441">
        <f>ROUND(IF(AD54=0,0,AG54/ABS(AD54)),3)</f>
        <v>0.59199999999999997</v>
      </c>
      <c r="AJ54" s="2670"/>
    </row>
    <row r="55" spans="1:36" ht="19.5" customHeight="1">
      <c r="A55" s="1443"/>
      <c r="B55" s="1977"/>
      <c r="C55" s="1977"/>
      <c r="D55" s="1977"/>
      <c r="E55" s="1977"/>
      <c r="F55" s="1977"/>
      <c r="G55" s="1977"/>
      <c r="H55" s="1977"/>
      <c r="I55" s="1957"/>
      <c r="J55" s="1957"/>
      <c r="K55" s="1957"/>
      <c r="L55" s="1957"/>
      <c r="M55" s="1957"/>
      <c r="N55" s="1957"/>
      <c r="O55" s="1957"/>
      <c r="P55" s="1957"/>
      <c r="Q55" s="1957"/>
      <c r="R55" s="1957"/>
      <c r="S55" s="1957"/>
      <c r="T55" s="1957"/>
      <c r="U55" s="1957"/>
      <c r="V55" s="1957"/>
      <c r="W55" s="1957"/>
      <c r="X55" s="1957"/>
      <c r="Y55" s="2660"/>
      <c r="Z55" s="1957"/>
      <c r="AA55" s="1977"/>
      <c r="AB55" s="2660"/>
      <c r="AC55" s="1957"/>
      <c r="AD55" s="1977"/>
      <c r="AE55" s="2646"/>
      <c r="AF55" s="2647"/>
      <c r="AG55" s="2642"/>
      <c r="AH55" s="1440"/>
      <c r="AI55" s="1443"/>
    </row>
    <row r="56" spans="1:36" ht="15.6">
      <c r="A56" s="2671" t="s">
        <v>187</v>
      </c>
      <c r="B56" s="1977"/>
      <c r="C56" s="1977"/>
      <c r="D56" s="1977"/>
      <c r="E56" s="1977"/>
      <c r="F56" s="1977"/>
      <c r="G56" s="1977"/>
      <c r="H56" s="1977"/>
      <c r="I56" s="1957"/>
      <c r="J56" s="1957"/>
      <c r="K56" s="1957"/>
      <c r="L56" s="1957"/>
      <c r="M56" s="1957"/>
      <c r="N56" s="1957"/>
      <c r="O56" s="1957"/>
      <c r="P56" s="1957"/>
      <c r="Q56" s="1957"/>
      <c r="R56" s="1957"/>
      <c r="S56" s="1957"/>
      <c r="T56" s="1957"/>
      <c r="U56" s="1957"/>
      <c r="V56" s="1957"/>
      <c r="W56" s="1957"/>
      <c r="X56" s="1957"/>
      <c r="Y56" s="2660"/>
      <c r="Z56" s="1957"/>
      <c r="AA56" s="1977"/>
      <c r="AB56" s="2660"/>
      <c r="AC56" s="1957"/>
      <c r="AD56" s="1977"/>
      <c r="AE56" s="2646"/>
      <c r="AF56" s="2647"/>
      <c r="AG56" s="2642"/>
      <c r="AH56" s="1440"/>
      <c r="AI56" s="1443"/>
    </row>
    <row r="57" spans="1:36" ht="14.25" customHeight="1">
      <c r="A57" s="2672" t="s">
        <v>151</v>
      </c>
      <c r="B57" s="1977"/>
      <c r="C57" s="1977"/>
      <c r="D57" s="1977"/>
      <c r="E57" s="1977"/>
      <c r="F57" s="1977"/>
      <c r="G57" s="1977"/>
      <c r="H57" s="1977"/>
      <c r="I57" s="1957"/>
      <c r="J57" s="1957"/>
      <c r="K57" s="1957"/>
      <c r="L57" s="1957"/>
      <c r="M57" s="1957"/>
      <c r="N57" s="1957"/>
      <c r="O57" s="1957"/>
      <c r="P57" s="1957"/>
      <c r="Q57" s="1957"/>
      <c r="R57" s="1957"/>
      <c r="S57" s="1957"/>
      <c r="T57" s="1957"/>
      <c r="U57" s="1957"/>
      <c r="V57" s="1957"/>
      <c r="W57" s="1957"/>
      <c r="X57" s="1957"/>
      <c r="Y57" s="2660"/>
      <c r="Z57" s="1957"/>
      <c r="AA57" s="1977"/>
      <c r="AB57" s="2660"/>
      <c r="AC57" s="1957"/>
      <c r="AD57" s="1977"/>
      <c r="AE57" s="2646"/>
      <c r="AF57" s="2647"/>
      <c r="AG57" s="2642"/>
      <c r="AH57" s="1440"/>
      <c r="AI57" s="1443"/>
    </row>
    <row r="58" spans="1:36" ht="14.25" customHeight="1">
      <c r="A58" s="2672" t="s">
        <v>37</v>
      </c>
      <c r="B58" s="1352">
        <v>0.2</v>
      </c>
      <c r="C58" s="1977"/>
      <c r="D58" s="1352">
        <v>2.1999999999999997</v>
      </c>
      <c r="E58" s="2673"/>
      <c r="F58" s="1352">
        <v>-25.799999999999997</v>
      </c>
      <c r="G58" s="1977"/>
      <c r="H58" s="1352">
        <v>14.7</v>
      </c>
      <c r="I58" s="1957"/>
      <c r="J58" s="1352">
        <v>7.2999999999999972</v>
      </c>
      <c r="K58" s="1957"/>
      <c r="L58" s="1352">
        <v>2.1999999999999993</v>
      </c>
      <c r="M58" s="1957"/>
      <c r="N58" s="1352">
        <v>0.10000000000000142</v>
      </c>
      <c r="O58" s="1957"/>
      <c r="P58" s="1768">
        <v>2.1999999999999993</v>
      </c>
      <c r="Q58" s="1957"/>
      <c r="R58" s="1768">
        <v>0.30000000000000071</v>
      </c>
      <c r="S58" s="1957"/>
      <c r="T58" s="1768">
        <f>$AA58-$B58-$D58-$F58-$H58-$J58-$L58-$N58-R58-P58</f>
        <v>0</v>
      </c>
      <c r="U58" s="1957"/>
      <c r="V58" s="1768"/>
      <c r="W58" s="1957"/>
      <c r="X58" s="1768"/>
      <c r="Y58" s="2660"/>
      <c r="Z58" s="1957"/>
      <c r="AA58" s="1963">
        <v>3.4</v>
      </c>
      <c r="AB58" s="2660"/>
      <c r="AC58" s="1957"/>
      <c r="AD58" s="1963">
        <v>24</v>
      </c>
      <c r="AE58" s="2646"/>
      <c r="AF58" s="2647"/>
      <c r="AG58" s="2642">
        <f>ROUND(SUM(AA58-AD58),1)</f>
        <v>-20.6</v>
      </c>
      <c r="AH58" s="1440"/>
      <c r="AI58" s="1449">
        <f>ROUND(IF(AD58=0,1,AG58/ABS(AD58)),3)</f>
        <v>-0.85799999999999998</v>
      </c>
    </row>
    <row r="59" spans="1:36" ht="14.25" customHeight="1">
      <c r="A59" s="2674" t="s">
        <v>1278</v>
      </c>
      <c r="B59" s="1352" t="s">
        <v>14</v>
      </c>
      <c r="C59" s="1977"/>
      <c r="D59" s="1352"/>
      <c r="E59" s="1977"/>
      <c r="F59" s="1352"/>
      <c r="G59" s="1977"/>
      <c r="H59" s="1352"/>
      <c r="I59" s="1957"/>
      <c r="J59" s="1352"/>
      <c r="K59" s="1957"/>
      <c r="L59" s="1352"/>
      <c r="M59" s="1957"/>
      <c r="N59" s="1352"/>
      <c r="O59" s="1957"/>
      <c r="P59" s="1768"/>
      <c r="Q59" s="1957"/>
      <c r="R59" s="1768"/>
      <c r="S59" s="1957"/>
      <c r="T59" s="1768"/>
      <c r="U59" s="1957"/>
      <c r="V59" s="1768"/>
      <c r="W59" s="1957"/>
      <c r="X59" s="1768"/>
      <c r="Y59" s="2660"/>
      <c r="Z59" s="1957"/>
      <c r="AA59" s="1977"/>
      <c r="AB59" s="2660"/>
      <c r="AC59" s="1957"/>
      <c r="AD59" s="1977"/>
      <c r="AE59" s="2646"/>
      <c r="AF59" s="2647"/>
      <c r="AG59" s="2642"/>
      <c r="AH59" s="1440"/>
      <c r="AI59" s="1443"/>
    </row>
    <row r="60" spans="1:36" ht="14.25" customHeight="1">
      <c r="A60" s="2675" t="s">
        <v>1054</v>
      </c>
      <c r="B60" s="1352">
        <v>122.4</v>
      </c>
      <c r="C60" s="1977"/>
      <c r="D60" s="1352">
        <v>40.5</v>
      </c>
      <c r="E60" s="1977"/>
      <c r="F60" s="1352">
        <v>-21.800000000000011</v>
      </c>
      <c r="G60" s="1977"/>
      <c r="H60" s="1352">
        <v>7.2</v>
      </c>
      <c r="I60" s="1957"/>
      <c r="J60" s="1352">
        <v>307.70000000000005</v>
      </c>
      <c r="K60" s="1957"/>
      <c r="L60" s="1352">
        <v>742.19999999999982</v>
      </c>
      <c r="M60" s="1957"/>
      <c r="N60" s="1352">
        <v>9.2000000000000455</v>
      </c>
      <c r="O60" s="1957"/>
      <c r="P60" s="1768">
        <v>26</v>
      </c>
      <c r="Q60" s="1957"/>
      <c r="R60" s="1768">
        <v>209.19999999999982</v>
      </c>
      <c r="S60" s="1957"/>
      <c r="T60" s="1768">
        <f>$AA60-$B60-$D60-$F60-$H60-$J60-$L60-$N60-R60-P60</f>
        <v>7.6000000000001364</v>
      </c>
      <c r="U60" s="1957"/>
      <c r="V60" s="1768"/>
      <c r="W60" s="1957"/>
      <c r="X60" s="1768"/>
      <c r="Y60" s="2660"/>
      <c r="Z60" s="1957"/>
      <c r="AA60" s="2676">
        <v>1450.2</v>
      </c>
      <c r="AB60" s="2660"/>
      <c r="AC60" s="1957"/>
      <c r="AD60" s="2676">
        <v>2589.6</v>
      </c>
      <c r="AE60" s="2646"/>
      <c r="AF60" s="2647"/>
      <c r="AG60" s="2677">
        <f>ROUND(SUM(AA60-AD60),1)</f>
        <v>-1139.4000000000001</v>
      </c>
      <c r="AH60" s="1440"/>
      <c r="AI60" s="1411">
        <f>ROUND(IF(AD60=0,0,AG60/ABS(AD60)),3)</f>
        <v>-0.44</v>
      </c>
    </row>
    <row r="61" spans="1:36" ht="15">
      <c r="A61" s="1443"/>
      <c r="B61" s="2663"/>
      <c r="C61" s="1977"/>
      <c r="D61" s="2663"/>
      <c r="E61" s="1977"/>
      <c r="F61" s="2663"/>
      <c r="G61" s="1977"/>
      <c r="H61" s="2663"/>
      <c r="I61" s="1957"/>
      <c r="J61" s="2664"/>
      <c r="K61" s="1957"/>
      <c r="L61" s="2664"/>
      <c r="M61" s="1957"/>
      <c r="N61" s="2664"/>
      <c r="O61" s="1957"/>
      <c r="P61" s="2664"/>
      <c r="Q61" s="1957"/>
      <c r="R61" s="2664"/>
      <c r="S61" s="1957"/>
      <c r="T61" s="2664"/>
      <c r="U61" s="1957"/>
      <c r="V61" s="2664"/>
      <c r="W61" s="1957"/>
      <c r="X61" s="2664"/>
      <c r="Y61" s="2660"/>
      <c r="Z61" s="1957"/>
      <c r="AA61" s="1977"/>
      <c r="AB61" s="2660"/>
      <c r="AC61" s="1957"/>
      <c r="AD61" s="1977"/>
      <c r="AE61" s="2646"/>
      <c r="AF61" s="2647"/>
      <c r="AG61" s="2642"/>
      <c r="AH61" s="1440"/>
      <c r="AI61" s="1443"/>
    </row>
    <row r="62" spans="1:36" ht="14.25" customHeight="1">
      <c r="A62" s="2671" t="s">
        <v>188</v>
      </c>
      <c r="B62" s="2665">
        <f>ROUND(SUM(B58:B60),1)</f>
        <v>122.6</v>
      </c>
      <c r="C62" s="2666"/>
      <c r="D62" s="2665">
        <f>ROUND(SUM(D58:D60),1)</f>
        <v>42.7</v>
      </c>
      <c r="E62" s="2667"/>
      <c r="F62" s="2665">
        <f>ROUND(SUM(F58:F60),1)</f>
        <v>-47.6</v>
      </c>
      <c r="G62" s="2667"/>
      <c r="H62" s="2665">
        <f>ROUND(SUM(H58:H60),1)</f>
        <v>21.9</v>
      </c>
      <c r="I62" s="2668"/>
      <c r="J62" s="2669">
        <f>ROUND(SUM(J58:J60),1)</f>
        <v>315</v>
      </c>
      <c r="K62" s="2668"/>
      <c r="L62" s="2669">
        <f>ROUND(SUM(L58:L60),1)</f>
        <v>744.4</v>
      </c>
      <c r="M62" s="2668"/>
      <c r="N62" s="2669">
        <f>ROUND(SUM(N58:N60),1)</f>
        <v>9.3000000000000007</v>
      </c>
      <c r="O62" s="2668"/>
      <c r="P62" s="2669">
        <f>ROUND(SUM(P58:P60),1)</f>
        <v>28.2</v>
      </c>
      <c r="Q62" s="2668"/>
      <c r="R62" s="2669">
        <f>ROUND(SUM(R58:R60),1)</f>
        <v>209.5</v>
      </c>
      <c r="S62" s="2668"/>
      <c r="T62" s="2669">
        <f>ROUND(SUM(T58:T60),1)</f>
        <v>7.6</v>
      </c>
      <c r="U62" s="2668"/>
      <c r="V62" s="2669">
        <f>ROUND(SUM(V58:V60),1)</f>
        <v>0</v>
      </c>
      <c r="W62" s="2668"/>
      <c r="X62" s="2669">
        <f>ROUND(SUM(X58:X60),1)</f>
        <v>0</v>
      </c>
      <c r="Y62" s="2651"/>
      <c r="Z62" s="2650"/>
      <c r="AA62" s="2669">
        <f>ROUND(SUM(AA58:AA60),1)</f>
        <v>1453.6</v>
      </c>
      <c r="AB62" s="2651"/>
      <c r="AC62" s="2650"/>
      <c r="AD62" s="2669">
        <f>ROUND(SUM(AD58:AD60),1)</f>
        <v>2613.6</v>
      </c>
      <c r="AE62" s="2652"/>
      <c r="AF62" s="2653"/>
      <c r="AG62" s="2669">
        <f>ROUND(SUM(AG58:AG60),1)</f>
        <v>-1160</v>
      </c>
      <c r="AH62" s="2611"/>
      <c r="AI62" s="1441">
        <f>ROUND(IF(AD62=0,0,AG62/ABS(AD62)),3)</f>
        <v>-0.44400000000000001</v>
      </c>
      <c r="AJ62" s="2678"/>
    </row>
    <row r="63" spans="1:36" ht="12" customHeight="1">
      <c r="A63" s="1443"/>
      <c r="B63" s="1977"/>
      <c r="C63" s="1977"/>
      <c r="D63" s="2679"/>
      <c r="E63" s="2679"/>
      <c r="F63" s="2679"/>
      <c r="G63" s="2679"/>
      <c r="H63" s="2679"/>
      <c r="I63" s="2680"/>
      <c r="J63" s="2680"/>
      <c r="K63" s="2680"/>
      <c r="L63" s="2680"/>
      <c r="M63" s="2680"/>
      <c r="N63" s="2680"/>
      <c r="O63" s="2680"/>
      <c r="P63" s="2680"/>
      <c r="Q63" s="2680"/>
      <c r="R63" s="2680"/>
      <c r="S63" s="2680"/>
      <c r="T63" s="2680"/>
      <c r="U63" s="2680"/>
      <c r="V63" s="2680"/>
      <c r="W63" s="2680"/>
      <c r="X63" s="2680"/>
      <c r="Y63" s="2660"/>
      <c r="Z63" s="1957"/>
      <c r="AA63" s="1977"/>
      <c r="AB63" s="2660"/>
      <c r="AC63" s="1957"/>
      <c r="AD63" s="1977"/>
      <c r="AE63" s="2646"/>
      <c r="AF63" s="2647"/>
      <c r="AG63" s="2642"/>
      <c r="AH63" s="1440"/>
      <c r="AI63" s="1443"/>
    </row>
    <row r="64" spans="1:36" ht="14.25" customHeight="1">
      <c r="A64" s="2671" t="s">
        <v>43</v>
      </c>
      <c r="B64" s="1977"/>
      <c r="C64" s="1977"/>
      <c r="D64" s="2679"/>
      <c r="E64" s="2679"/>
      <c r="F64" s="2679"/>
      <c r="G64" s="2679"/>
      <c r="H64" s="2679"/>
      <c r="I64" s="2680"/>
      <c r="J64" s="2680"/>
      <c r="K64" s="2680"/>
      <c r="L64" s="2680"/>
      <c r="M64" s="2680"/>
      <c r="N64" s="2680"/>
      <c r="O64" s="2680"/>
      <c r="P64" s="2680"/>
      <c r="Q64" s="2680"/>
      <c r="R64" s="2680"/>
      <c r="S64" s="2680"/>
      <c r="T64" s="2680"/>
      <c r="U64" s="2680"/>
      <c r="V64" s="2680"/>
      <c r="W64" s="2680"/>
      <c r="X64" s="2680"/>
      <c r="Y64" s="2660"/>
      <c r="Z64" s="1957"/>
      <c r="AA64" s="1977"/>
      <c r="AB64" s="2660"/>
      <c r="AC64" s="1957"/>
      <c r="AD64" s="1977"/>
      <c r="AE64" s="2646"/>
      <c r="AF64" s="2647"/>
      <c r="AG64" s="2642"/>
      <c r="AH64" s="1440"/>
      <c r="AI64" s="1443"/>
    </row>
    <row r="65" spans="1:38" ht="14.25" customHeight="1">
      <c r="A65" s="2428" t="s">
        <v>189</v>
      </c>
      <c r="B65" s="2665">
        <f>ROUND(SUM(B54-B62),1)</f>
        <v>4176.3999999999996</v>
      </c>
      <c r="C65" s="2666"/>
      <c r="D65" s="2665">
        <f>ROUND(SUM(D54-D62),1)</f>
        <v>5908.3</v>
      </c>
      <c r="E65" s="2681"/>
      <c r="F65" s="2665">
        <f>ROUND(SUM(F54-F62),1)</f>
        <v>4328</v>
      </c>
      <c r="G65" s="2667"/>
      <c r="H65" s="2665">
        <f>ROUND(SUM(H54-H62),1)</f>
        <v>2800.3</v>
      </c>
      <c r="I65" s="2668"/>
      <c r="J65" s="2669">
        <f>ROUND(SUM(J54-J62),1)</f>
        <v>2706.9</v>
      </c>
      <c r="K65" s="2668"/>
      <c r="L65" s="2669">
        <f>ROUND(SUM(L54-L62),1)</f>
        <v>3879.7</v>
      </c>
      <c r="M65" s="2668"/>
      <c r="N65" s="2669">
        <f>ROUND(SUM(N54-N62),1)</f>
        <v>2774.4</v>
      </c>
      <c r="O65" s="2668"/>
      <c r="P65" s="2669">
        <f>ROUND(SUM(P54-P62),1)</f>
        <v>2917.2</v>
      </c>
      <c r="Q65" s="2668"/>
      <c r="R65" s="2669">
        <f>ROUND(SUM(R54-R62),1)</f>
        <v>9395.9</v>
      </c>
      <c r="S65" s="2668"/>
      <c r="T65" s="2669">
        <f>ROUND(SUM(T54-T62),1)</f>
        <v>6917.2</v>
      </c>
      <c r="U65" s="2668"/>
      <c r="V65" s="2669">
        <f>ROUND(SUM(V54-V62),1)</f>
        <v>0</v>
      </c>
      <c r="W65" s="2668"/>
      <c r="X65" s="2669">
        <f>ROUND(SUM(X54-X62),1)</f>
        <v>0</v>
      </c>
      <c r="Y65" s="2651"/>
      <c r="Z65" s="2650"/>
      <c r="AA65" s="2669">
        <f>ROUND(SUM(AA54-AA62),1)</f>
        <v>45804.3</v>
      </c>
      <c r="AB65" s="2651"/>
      <c r="AC65" s="2650"/>
      <c r="AD65" s="2669">
        <f>ROUND(SUM(AD54-AD62),1)</f>
        <v>27078.5</v>
      </c>
      <c r="AE65" s="2652"/>
      <c r="AF65" s="2653"/>
      <c r="AG65" s="2669">
        <f>ROUND(SUM(+AG54-AG62),1)</f>
        <v>18725.8</v>
      </c>
      <c r="AH65" s="2611"/>
      <c r="AI65" s="1441">
        <f>ROUND(IF(AD65=0,0,AG65/ABS(AD65)),3)</f>
        <v>0.69199999999999995</v>
      </c>
      <c r="AJ65" s="2670"/>
    </row>
    <row r="66" spans="1:38" ht="19.5" customHeight="1">
      <c r="A66" s="1443"/>
      <c r="B66" s="2659"/>
      <c r="C66" s="1977"/>
      <c r="D66" s="1977"/>
      <c r="E66" s="1977"/>
      <c r="F66" s="1977"/>
      <c r="G66" s="1977"/>
      <c r="H66" s="1977"/>
      <c r="I66" s="1957"/>
      <c r="J66" s="1957"/>
      <c r="K66" s="1957"/>
      <c r="L66" s="1957"/>
      <c r="M66" s="1957"/>
      <c r="N66" s="1957"/>
      <c r="O66" s="1957"/>
      <c r="P66" s="1957"/>
      <c r="Q66" s="1957"/>
      <c r="R66" s="1957"/>
      <c r="S66" s="1957"/>
      <c r="T66" s="1957"/>
      <c r="U66" s="1957"/>
      <c r="V66" s="1957"/>
      <c r="W66" s="1957"/>
      <c r="X66" s="1957"/>
      <c r="Y66" s="2660"/>
      <c r="Z66" s="1957"/>
      <c r="AA66" s="2659"/>
      <c r="AB66" s="2660"/>
      <c r="AC66" s="1957"/>
      <c r="AD66" s="2659"/>
      <c r="AE66" s="2646"/>
      <c r="AF66" s="2647"/>
      <c r="AG66" s="2642"/>
      <c r="AH66" s="1440"/>
      <c r="AI66" s="1443"/>
    </row>
    <row r="67" spans="1:38" ht="14.25" customHeight="1">
      <c r="A67" s="2671" t="s">
        <v>45</v>
      </c>
      <c r="B67" s="1977"/>
      <c r="C67" s="1977"/>
      <c r="D67" s="1977"/>
      <c r="E67" s="1977"/>
      <c r="F67" s="1977"/>
      <c r="G67" s="1977"/>
      <c r="H67" s="1977"/>
      <c r="I67" s="1957"/>
      <c r="J67" s="1957"/>
      <c r="K67" s="1957"/>
      <c r="L67" s="1957"/>
      <c r="M67" s="1957"/>
      <c r="N67" s="1957"/>
      <c r="O67" s="1957"/>
      <c r="P67" s="1957"/>
      <c r="Q67" s="1957"/>
      <c r="R67" s="1957"/>
      <c r="S67" s="1957"/>
      <c r="T67" s="1957"/>
      <c r="U67" s="1957"/>
      <c r="V67" s="1957"/>
      <c r="W67" s="1957"/>
      <c r="X67" s="1957"/>
      <c r="Y67" s="2660"/>
      <c r="Z67" s="1957"/>
      <c r="AA67" s="1977"/>
      <c r="AB67" s="2660"/>
      <c r="AC67" s="1957"/>
      <c r="AD67" s="1977"/>
      <c r="AE67" s="2646"/>
      <c r="AF67" s="2647"/>
      <c r="AG67" s="2642"/>
      <c r="AH67" s="1440"/>
      <c r="AI67" s="1443"/>
    </row>
    <row r="68" spans="1:38" ht="14.25" customHeight="1">
      <c r="A68" s="2672" t="s">
        <v>180</v>
      </c>
      <c r="B68" s="1352">
        <v>295.89999999999998</v>
      </c>
      <c r="C68" s="1977"/>
      <c r="D68" s="1352">
        <v>6</v>
      </c>
      <c r="E68" s="1977"/>
      <c r="F68" s="1352">
        <v>133.80000000000001</v>
      </c>
      <c r="G68" s="1977"/>
      <c r="H68" s="1352">
        <v>185.5</v>
      </c>
      <c r="I68" s="1957"/>
      <c r="J68" s="1352">
        <v>51.599999999999966</v>
      </c>
      <c r="K68" s="1957"/>
      <c r="L68" s="1352">
        <v>94.600000000000023</v>
      </c>
      <c r="M68" s="1957"/>
      <c r="N68" s="1352">
        <v>197.50000000000006</v>
      </c>
      <c r="O68" s="1957"/>
      <c r="P68" s="1768">
        <v>60.5</v>
      </c>
      <c r="Q68" s="1957"/>
      <c r="R68" s="1768">
        <v>157.59999999999991</v>
      </c>
      <c r="S68" s="1957"/>
      <c r="T68" s="1768">
        <f t="shared" ref="T68" si="6">$AA68-$B68-$D68-$F68-$H68-$J68-$L68-$N68-R68-P68</f>
        <v>287.59999999999997</v>
      </c>
      <c r="U68" s="1957"/>
      <c r="V68" s="1768"/>
      <c r="W68" s="1957"/>
      <c r="X68" s="1768"/>
      <c r="Y68" s="2660"/>
      <c r="Z68" s="1957"/>
      <c r="AA68" s="1963">
        <v>1470.6</v>
      </c>
      <c r="AB68" s="2660"/>
      <c r="AC68" s="1957"/>
      <c r="AD68" s="1963">
        <v>1968.7</v>
      </c>
      <c r="AE68" s="2646"/>
      <c r="AF68" s="2647"/>
      <c r="AG68" s="2642">
        <f>ROUND(SUM(AA68-AD68),1)</f>
        <v>-498.1</v>
      </c>
      <c r="AH68" s="1440"/>
      <c r="AI68" s="1410">
        <f>ROUND(IF(AD68=0,0,AG68/ABS(AD68)),3)</f>
        <v>-0.253</v>
      </c>
    </row>
    <row r="69" spans="1:38" ht="14.25" customHeight="1">
      <c r="A69" s="2672" t="s">
        <v>190</v>
      </c>
      <c r="B69" s="1352">
        <v>-4330.8</v>
      </c>
      <c r="C69" s="1977"/>
      <c r="D69" s="1352">
        <v>-5817.9000000000005</v>
      </c>
      <c r="E69" s="1977"/>
      <c r="F69" s="1352">
        <v>-4527.0000000000009</v>
      </c>
      <c r="G69" s="1977"/>
      <c r="H69" s="1352">
        <v>-2677.4</v>
      </c>
      <c r="I69" s="1957"/>
      <c r="J69" s="1352">
        <v>-2322.5000000000005</v>
      </c>
      <c r="K69" s="1957"/>
      <c r="L69" s="1352">
        <v>-4772.1999999999989</v>
      </c>
      <c r="M69" s="1957"/>
      <c r="N69" s="1352">
        <v>-2841.5</v>
      </c>
      <c r="O69" s="1957"/>
      <c r="P69" s="1768">
        <v>-2791.1000000000022</v>
      </c>
      <c r="Q69" s="1957"/>
      <c r="R69" s="1768">
        <v>-9711.4999999999945</v>
      </c>
      <c r="S69" s="1957"/>
      <c r="T69" s="1768">
        <f>$AA69-$B69-$D69-$F69-$H69-$J69-$L69-$N69-R69-P69</f>
        <v>-1490.7999999999975</v>
      </c>
      <c r="U69" s="1957"/>
      <c r="V69" s="1768"/>
      <c r="W69" s="1957"/>
      <c r="X69" s="1768"/>
      <c r="Y69" s="2660"/>
      <c r="Z69" s="1957"/>
      <c r="AA69" s="2682">
        <v>-41282.699999999997</v>
      </c>
      <c r="AB69" s="2660"/>
      <c r="AC69" s="1957"/>
      <c r="AD69" s="2682">
        <v>-21901.4</v>
      </c>
      <c r="AE69" s="2646"/>
      <c r="AF69" s="2647"/>
      <c r="AG69" s="2677">
        <f>ROUND(SUM(-(AA69-AD69)),1)</f>
        <v>19381.3</v>
      </c>
      <c r="AH69" s="1440"/>
      <c r="AI69" s="1411">
        <f>ROUND(IF(AD69=0,0,AG69/ABS(AD69)),3)</f>
        <v>0.88500000000000001</v>
      </c>
    </row>
    <row r="70" spans="1:38" ht="15">
      <c r="A70" s="1443"/>
      <c r="B70" s="2664"/>
      <c r="C70" s="1957"/>
      <c r="D70" s="2683"/>
      <c r="E70" s="1957"/>
      <c r="F70" s="2683"/>
      <c r="G70" s="1957"/>
      <c r="H70" s="2683"/>
      <c r="I70" s="1957"/>
      <c r="J70" s="2683"/>
      <c r="K70" s="1957"/>
      <c r="L70" s="2683"/>
      <c r="M70" s="1957"/>
      <c r="N70" s="2683"/>
      <c r="O70" s="1957"/>
      <c r="P70" s="2683"/>
      <c r="Q70" s="1957"/>
      <c r="R70" s="2683"/>
      <c r="S70" s="1957"/>
      <c r="T70" s="2683"/>
      <c r="U70" s="1957"/>
      <c r="V70" s="2683"/>
      <c r="W70" s="1957"/>
      <c r="X70" s="2683"/>
      <c r="Y70" s="2660"/>
      <c r="Z70" s="1957"/>
      <c r="AA70" s="1977"/>
      <c r="AB70" s="2660"/>
      <c r="AC70" s="1957"/>
      <c r="AD70" s="1977"/>
      <c r="AE70" s="2646"/>
      <c r="AF70" s="2647"/>
      <c r="AG70" s="2642"/>
      <c r="AH70" s="1440"/>
      <c r="AI70" s="1443"/>
    </row>
    <row r="71" spans="1:38" ht="14.25" customHeight="1">
      <c r="A71" s="2671" t="s">
        <v>866</v>
      </c>
      <c r="B71" s="1962">
        <f>ROUND(SUM(B68:B69),1)</f>
        <v>-4034.9</v>
      </c>
      <c r="C71" s="2650"/>
      <c r="D71" s="1962">
        <f>ROUND(SUM(D68:D69),1)</f>
        <v>-5811.9</v>
      </c>
      <c r="E71" s="2668"/>
      <c r="F71" s="1962">
        <f>ROUND(SUM(F68:F69),1)</f>
        <v>-4393.2</v>
      </c>
      <c r="G71" s="2668"/>
      <c r="H71" s="1962">
        <f>ROUND(SUM(H68:H69),1)</f>
        <v>-2491.9</v>
      </c>
      <c r="I71" s="2668"/>
      <c r="J71" s="1962">
        <f>ROUND(SUM(J68:J69),1)</f>
        <v>-2270.9</v>
      </c>
      <c r="K71" s="2668"/>
      <c r="L71" s="1962">
        <f>ROUND(SUM(L68:L69),1)</f>
        <v>-4677.6000000000004</v>
      </c>
      <c r="M71" s="2668"/>
      <c r="N71" s="1962">
        <f>ROUND(SUM(N68:N69),1)</f>
        <v>-2644</v>
      </c>
      <c r="O71" s="2668"/>
      <c r="P71" s="1962">
        <f>ROUND(SUM(P68:P69),1)</f>
        <v>-2730.6</v>
      </c>
      <c r="Q71" s="2668"/>
      <c r="R71" s="1962">
        <f>ROUND(SUM(R68:R69),1)</f>
        <v>-9553.9</v>
      </c>
      <c r="S71" s="2668"/>
      <c r="T71" s="1962">
        <f>ROUND(SUM(T68:T69),1)</f>
        <v>-1203.2</v>
      </c>
      <c r="U71" s="2668"/>
      <c r="V71" s="1962">
        <f>ROUND(SUM(V68:V69),1)</f>
        <v>0</v>
      </c>
      <c r="W71" s="2668"/>
      <c r="X71" s="1962">
        <f>ROUND(SUM(X68:X69),1)</f>
        <v>0</v>
      </c>
      <c r="Y71" s="2651"/>
      <c r="Z71" s="2650"/>
      <c r="AA71" s="1962">
        <f>ROUND(SUM(AA68:AA69),1)</f>
        <v>-39812.1</v>
      </c>
      <c r="AB71" s="2651"/>
      <c r="AC71" s="2650"/>
      <c r="AD71" s="1962">
        <f>ROUND(SUM(AD68:AD69),1)</f>
        <v>-19932.7</v>
      </c>
      <c r="AE71" s="2652"/>
      <c r="AF71" s="2653"/>
      <c r="AG71" s="1962">
        <f>ROUND(SUM(AA71-AD71),1)</f>
        <v>-19879.400000000001</v>
      </c>
      <c r="AH71" s="2611"/>
      <c r="AI71" s="1441">
        <f>ROUND(IF(AD71=0,0,AG71/ABS(AD71)),3)</f>
        <v>-0.997</v>
      </c>
      <c r="AJ71" s="2670"/>
    </row>
    <row r="72" spans="1:38" ht="19.5" customHeight="1">
      <c r="A72" s="1443"/>
      <c r="B72" s="1957"/>
      <c r="C72" s="1957"/>
      <c r="D72" s="2684"/>
      <c r="E72" s="1957"/>
      <c r="F72" s="2684"/>
      <c r="G72" s="1957"/>
      <c r="H72" s="2684"/>
      <c r="I72" s="1957"/>
      <c r="J72" s="2684"/>
      <c r="K72" s="1957"/>
      <c r="L72" s="2684"/>
      <c r="M72" s="1957"/>
      <c r="N72" s="2684"/>
      <c r="O72" s="1957"/>
      <c r="P72" s="2684"/>
      <c r="Q72" s="1957"/>
      <c r="R72" s="2684"/>
      <c r="S72" s="1957"/>
      <c r="T72" s="2684"/>
      <c r="U72" s="1957"/>
      <c r="V72" s="2684"/>
      <c r="W72" s="1957"/>
      <c r="X72" s="2684"/>
      <c r="Y72" s="2660"/>
      <c r="Z72" s="1957"/>
      <c r="AA72" s="1977"/>
      <c r="AB72" s="2660"/>
      <c r="AC72" s="1957"/>
      <c r="AD72" s="1977"/>
      <c r="AE72" s="2646"/>
      <c r="AF72" s="2647"/>
      <c r="AG72" s="2642"/>
      <c r="AH72" s="1440"/>
      <c r="AI72" s="1443"/>
    </row>
    <row r="73" spans="1:38" ht="14.25" customHeight="1">
      <c r="A73" s="2428" t="s">
        <v>191</v>
      </c>
      <c r="B73" s="1957"/>
      <c r="C73" s="1957"/>
      <c r="D73" s="2680"/>
      <c r="E73" s="1957"/>
      <c r="F73" s="2680"/>
      <c r="G73" s="1957"/>
      <c r="H73" s="2680"/>
      <c r="I73" s="1957"/>
      <c r="J73" s="2680"/>
      <c r="K73" s="1957"/>
      <c r="L73" s="2680"/>
      <c r="M73" s="1957"/>
      <c r="N73" s="2680"/>
      <c r="O73" s="1957"/>
      <c r="P73" s="2680"/>
      <c r="Q73" s="1957"/>
      <c r="R73" s="2680"/>
      <c r="S73" s="1957"/>
      <c r="T73" s="2680"/>
      <c r="U73" s="1957"/>
      <c r="V73" s="2680"/>
      <c r="W73" s="1957"/>
      <c r="X73" s="2680"/>
      <c r="Y73" s="2660"/>
      <c r="Z73" s="1957"/>
      <c r="AA73" s="1977"/>
      <c r="AB73" s="2660"/>
      <c r="AC73" s="1957"/>
      <c r="AD73" s="1977"/>
      <c r="AE73" s="2646"/>
      <c r="AF73" s="2647"/>
      <c r="AG73" s="2642"/>
      <c r="AH73" s="1440"/>
      <c r="AI73" s="1443"/>
    </row>
    <row r="74" spans="1:38" ht="14.25" customHeight="1">
      <c r="A74" s="2428" t="s">
        <v>192</v>
      </c>
      <c r="B74" s="1957"/>
      <c r="C74" s="1957"/>
      <c r="D74" s="2680"/>
      <c r="E74" s="1957"/>
      <c r="F74" s="2680"/>
      <c r="G74" s="1957"/>
      <c r="H74" s="2680"/>
      <c r="I74" s="1957"/>
      <c r="J74" s="2680"/>
      <c r="K74" s="1957"/>
      <c r="L74" s="2680"/>
      <c r="M74" s="1957"/>
      <c r="N74" s="2680"/>
      <c r="O74" s="1957"/>
      <c r="P74" s="2680"/>
      <c r="Q74" s="1957"/>
      <c r="R74" s="2680"/>
      <c r="S74" s="1957"/>
      <c r="T74" s="2680"/>
      <c r="U74" s="1957"/>
      <c r="V74" s="2680"/>
      <c r="W74" s="1957"/>
      <c r="X74" s="2680"/>
      <c r="Y74" s="2660"/>
      <c r="Z74" s="1957"/>
      <c r="AA74" s="1977"/>
      <c r="AB74" s="2660"/>
      <c r="AC74" s="1957"/>
      <c r="AD74" s="1977"/>
      <c r="AE74" s="2646"/>
      <c r="AF74" s="2647"/>
      <c r="AG74" s="2642"/>
      <c r="AH74" s="1440"/>
      <c r="AI74" s="1443"/>
    </row>
    <row r="75" spans="1:38" ht="14.25" customHeight="1">
      <c r="A75" s="2428" t="s">
        <v>1130</v>
      </c>
      <c r="B75" s="2669">
        <f>ROUND(SUM(+B65+B71),1)</f>
        <v>141.5</v>
      </c>
      <c r="C75" s="2650"/>
      <c r="D75" s="2669">
        <f>ROUND(SUM(+D65+D71),1)</f>
        <v>96.4</v>
      </c>
      <c r="E75" s="2650"/>
      <c r="F75" s="2669">
        <f>ROUND(SUM(+F65+F71),1)</f>
        <v>-65.2</v>
      </c>
      <c r="G75" s="2650"/>
      <c r="H75" s="2669">
        <f>ROUND(SUM(+H65+H71),1)</f>
        <v>308.39999999999998</v>
      </c>
      <c r="I75" s="2650"/>
      <c r="J75" s="2669">
        <f>ROUND(SUM(+J65+J71),1)</f>
        <v>436</v>
      </c>
      <c r="K75" s="2650"/>
      <c r="L75" s="2669">
        <f>ROUND(SUM(+L65+L71),1)</f>
        <v>-797.9</v>
      </c>
      <c r="M75" s="2650"/>
      <c r="N75" s="2669">
        <f>ROUND(SUM(+N65+N71),1)</f>
        <v>130.4</v>
      </c>
      <c r="O75" s="2650"/>
      <c r="P75" s="2669">
        <f>ROUND(SUM(+P65+P71),1)</f>
        <v>186.6</v>
      </c>
      <c r="Q75" s="2650"/>
      <c r="R75" s="2669">
        <f>ROUND(SUM(+R65+R71),1)</f>
        <v>-158</v>
      </c>
      <c r="S75" s="2650"/>
      <c r="T75" s="2669">
        <f>ROUND(SUM(+T65+T71),1)</f>
        <v>5714</v>
      </c>
      <c r="U75" s="2650"/>
      <c r="V75" s="2669">
        <f>ROUND(SUM(+V65+V71),1)</f>
        <v>0</v>
      </c>
      <c r="W75" s="2650"/>
      <c r="X75" s="2669">
        <f>ROUND(SUM(+X65+X71),1)</f>
        <v>0</v>
      </c>
      <c r="Y75" s="2651"/>
      <c r="Z75" s="2650"/>
      <c r="AA75" s="2669">
        <f>ROUND(SUM(+AA65+AA71),1)</f>
        <v>5992.2</v>
      </c>
      <c r="AB75" s="2651"/>
      <c r="AC75" s="2650"/>
      <c r="AD75" s="2669">
        <f>ROUND(SUM(+AD65+AD71),1)</f>
        <v>7145.8</v>
      </c>
      <c r="AE75" s="2652"/>
      <c r="AF75" s="2653"/>
      <c r="AG75" s="2669">
        <f>ROUND(SUM(+AG65+AG71),1)</f>
        <v>-1153.5999999999999</v>
      </c>
      <c r="AH75" s="2611"/>
      <c r="AI75" s="1450">
        <f>ROUND(IF(AD75=0,0,AG75/ABS(AD75)),3)</f>
        <v>-0.161</v>
      </c>
      <c r="AJ75" s="2670"/>
    </row>
    <row r="76" spans="1:38" ht="15">
      <c r="A76" s="1443"/>
      <c r="B76" s="1959"/>
      <c r="C76" s="1959"/>
      <c r="D76" s="2685"/>
      <c r="E76" s="1959"/>
      <c r="F76" s="2686"/>
      <c r="G76" s="1959"/>
      <c r="H76" s="2686"/>
      <c r="I76" s="1959"/>
      <c r="J76" s="2686"/>
      <c r="K76" s="1959"/>
      <c r="L76" s="2687"/>
      <c r="M76" s="1959"/>
      <c r="N76" s="2686"/>
      <c r="O76" s="1959"/>
      <c r="P76" s="2686"/>
      <c r="Q76" s="1959"/>
      <c r="R76" s="2686"/>
      <c r="S76" s="1959"/>
      <c r="T76" s="2686"/>
      <c r="U76" s="1959"/>
      <c r="V76" s="2686"/>
      <c r="W76" s="1959"/>
      <c r="X76" s="2686"/>
      <c r="Y76" s="2637"/>
      <c r="Z76" s="1959"/>
      <c r="AA76" s="1959" t="s">
        <v>14</v>
      </c>
      <c r="AB76" s="2637"/>
      <c r="AC76" s="1959"/>
      <c r="AD76" s="3407"/>
      <c r="AE76" s="2624"/>
      <c r="AF76" s="2638"/>
      <c r="AG76" s="2639"/>
      <c r="AH76" s="1440"/>
      <c r="AI76" s="1443"/>
    </row>
    <row r="77" spans="1:38" ht="15">
      <c r="A77" s="1443"/>
      <c r="B77" s="1443"/>
      <c r="C77" s="1443"/>
      <c r="D77" s="2623"/>
      <c r="E77" s="1443"/>
      <c r="F77" s="2639"/>
      <c r="G77" s="1443"/>
      <c r="H77" s="1440"/>
      <c r="I77" s="1443"/>
      <c r="J77" s="1440"/>
      <c r="K77" s="1443"/>
      <c r="L77" s="2688"/>
      <c r="M77" s="1443"/>
      <c r="N77" s="1440"/>
      <c r="O77" s="1443"/>
      <c r="P77" s="1440"/>
      <c r="Q77" s="1443"/>
      <c r="R77" s="1440"/>
      <c r="S77" s="1443"/>
      <c r="T77" s="2639"/>
      <c r="U77" s="1959"/>
      <c r="V77" s="2639"/>
      <c r="W77" s="1959"/>
      <c r="X77" s="2639"/>
      <c r="Y77" s="2636"/>
      <c r="Z77" s="1443"/>
      <c r="AA77" s="1959"/>
      <c r="AB77" s="2637"/>
      <c r="AC77" s="1959"/>
      <c r="AD77" s="2560"/>
      <c r="AE77" s="2627"/>
      <c r="AF77" s="2638"/>
      <c r="AG77" s="2639"/>
      <c r="AH77" s="1440"/>
      <c r="AI77" s="1443"/>
    </row>
    <row r="78" spans="1:38" ht="19.5" customHeight="1" thickBot="1">
      <c r="A78" s="2428" t="s">
        <v>140</v>
      </c>
      <c r="B78" s="2689">
        <f>ROUND(SUM(B12+B75),1)</f>
        <v>206.5</v>
      </c>
      <c r="C78" s="2408"/>
      <c r="D78" s="2689">
        <f>ROUND(SUM(D12+D75),1)</f>
        <v>302.89999999999998</v>
      </c>
      <c r="E78" s="2408"/>
      <c r="F78" s="2689">
        <f>ROUND(SUM(F12+F75),1)</f>
        <v>237.7</v>
      </c>
      <c r="G78" s="2408"/>
      <c r="H78" s="2689">
        <f>ROUND(SUM(H12+H75),1)</f>
        <v>546.1</v>
      </c>
      <c r="I78" s="2408"/>
      <c r="J78" s="2689">
        <f>ROUND(SUM(J12+J75),1)</f>
        <v>982.1</v>
      </c>
      <c r="K78" s="2408"/>
      <c r="L78" s="2689">
        <f>ROUND(SUM(L12+L75),1)</f>
        <v>184.2</v>
      </c>
      <c r="M78" s="2408"/>
      <c r="N78" s="2689">
        <f>ROUND(SUM(N12+N75),1)</f>
        <v>314.60000000000002</v>
      </c>
      <c r="O78" s="2408"/>
      <c r="P78" s="2689">
        <f>ROUND(SUM(P12+P75),1)</f>
        <v>501.2</v>
      </c>
      <c r="Q78" s="2408"/>
      <c r="R78" s="2689">
        <f>ROUND(SUM(R12+R75),1)</f>
        <v>343.2</v>
      </c>
      <c r="S78" s="2408"/>
      <c r="T78" s="2689">
        <f>ROUND(SUM(T12+T75),1)</f>
        <v>6057.2</v>
      </c>
      <c r="U78" s="2408"/>
      <c r="V78" s="2689">
        <f>ROUND(SUM(V12+V75),1)</f>
        <v>0</v>
      </c>
      <c r="W78" s="2408"/>
      <c r="X78" s="2689">
        <f>ROUND(SUM(X12+X75),1)</f>
        <v>0</v>
      </c>
      <c r="Y78" s="2631"/>
      <c r="Z78" s="2408"/>
      <c r="AA78" s="2689">
        <f>ROUND(SUM(AA12+AA75),1)</f>
        <v>6057.2</v>
      </c>
      <c r="AB78" s="2631"/>
      <c r="AC78" s="2408"/>
      <c r="AD78" s="2689">
        <f>ROUND(SUM(AD12+AD75),1)</f>
        <v>7209.2</v>
      </c>
      <c r="AE78" s="2690"/>
      <c r="AF78" s="2633"/>
      <c r="AG78" s="2689">
        <f>ROUND(SUM(+AG12+AG75),1)</f>
        <v>-1152</v>
      </c>
      <c r="AH78" s="2611"/>
      <c r="AI78" s="2294">
        <f>ROUND(IF(AD78=0,0,AG78/ABS(AD78)),3)</f>
        <v>-0.16</v>
      </c>
      <c r="AJ78" s="2691"/>
      <c r="AK78" s="2655"/>
      <c r="AL78" s="2655"/>
    </row>
    <row r="79" spans="1:38" ht="14.25" customHeight="1" thickTop="1">
      <c r="A79" s="2655"/>
      <c r="B79" s="2692"/>
      <c r="C79" s="2693"/>
      <c r="D79" s="2692"/>
      <c r="F79" s="2692"/>
      <c r="H79" s="2694"/>
      <c r="J79" s="2694"/>
      <c r="L79" s="2694"/>
      <c r="N79" s="2694"/>
      <c r="P79" s="2694"/>
      <c r="R79" s="2694"/>
      <c r="T79" s="2694"/>
      <c r="U79" s="2601"/>
      <c r="V79" s="2694"/>
      <c r="W79" s="2601"/>
      <c r="X79" s="2694"/>
      <c r="Y79" s="2692"/>
      <c r="Z79" s="2693"/>
      <c r="AA79" s="2692"/>
      <c r="AB79" s="2692"/>
      <c r="AC79" s="2693"/>
      <c r="AD79" s="2692"/>
      <c r="AE79" s="2695"/>
      <c r="AF79" s="2692"/>
      <c r="AG79" s="2692"/>
      <c r="AH79" s="2696"/>
      <c r="AI79" s="2697"/>
    </row>
    <row r="80" spans="1:38">
      <c r="L80" s="2601"/>
      <c r="T80" s="2698"/>
      <c r="U80" s="2698"/>
      <c r="V80" s="2698"/>
      <c r="W80" s="2698"/>
      <c r="X80" s="2698"/>
      <c r="AD80" s="2699"/>
    </row>
    <row r="81" spans="1:35" ht="12" customHeight="1">
      <c r="A81" s="1443"/>
      <c r="L81" s="2601"/>
      <c r="R81" s="2700"/>
      <c r="T81" s="2693"/>
      <c r="V81" s="2693"/>
      <c r="X81" s="2693"/>
    </row>
    <row r="82" spans="1:35">
      <c r="B82" s="2699"/>
      <c r="L82" s="2601"/>
      <c r="R82" s="2700"/>
      <c r="T82" s="2693"/>
      <c r="V82" s="2693"/>
      <c r="X82" s="2693"/>
    </row>
    <row r="83" spans="1:35">
      <c r="A83" s="2701"/>
      <c r="L83" s="2601"/>
    </row>
    <row r="84" spans="1:35">
      <c r="A84" s="2702"/>
      <c r="B84" s="2699"/>
      <c r="L84" s="2601"/>
      <c r="R84" s="2703"/>
    </row>
    <row r="85" spans="1:35">
      <c r="A85" s="2704"/>
      <c r="B85" s="2699"/>
      <c r="L85" s="2601"/>
    </row>
    <row r="86" spans="1:35">
      <c r="A86" s="2705"/>
      <c r="L86" s="2601"/>
      <c r="AI86" s="2693"/>
    </row>
    <row r="87" spans="1:35">
      <c r="L87" s="2601"/>
    </row>
    <row r="88" spans="1:35">
      <c r="L88" s="2601"/>
    </row>
    <row r="89" spans="1:35">
      <c r="L89" s="2601"/>
    </row>
    <row r="90" spans="1:35">
      <c r="L90" s="2601"/>
    </row>
    <row r="91" spans="1:35">
      <c r="L91" s="2601"/>
    </row>
    <row r="92" spans="1:35">
      <c r="L92" s="2601"/>
    </row>
    <row r="93" spans="1:35">
      <c r="L93" s="2601"/>
    </row>
    <row r="94" spans="1:35">
      <c r="L94" s="2601"/>
    </row>
    <row r="95" spans="1:35">
      <c r="L95" s="2601"/>
    </row>
    <row r="96" spans="1:35">
      <c r="L96" s="2601"/>
    </row>
    <row r="97" spans="12:12">
      <c r="L97" s="2601"/>
    </row>
    <row r="98" spans="12:12">
      <c r="L98" s="2601"/>
    </row>
    <row r="99" spans="12:12">
      <c r="L99" s="2601"/>
    </row>
    <row r="100" spans="12:12">
      <c r="L100" s="2601"/>
    </row>
    <row r="101" spans="12:12">
      <c r="L101" s="2601"/>
    </row>
    <row r="102" spans="12:12">
      <c r="L102" s="2601"/>
    </row>
    <row r="103" spans="12:12">
      <c r="L103" s="2601"/>
    </row>
    <row r="104" spans="12:12">
      <c r="L104" s="2601"/>
    </row>
    <row r="105" spans="12:12">
      <c r="L105" s="2601"/>
    </row>
    <row r="106" spans="12:12">
      <c r="L106" s="2601"/>
    </row>
    <row r="107" spans="12:12">
      <c r="L107" s="2601"/>
    </row>
    <row r="108" spans="12:12">
      <c r="L108" s="2601"/>
    </row>
    <row r="109" spans="12:12">
      <c r="L109" s="2601"/>
    </row>
    <row r="110" spans="12:12">
      <c r="L110" s="2601"/>
    </row>
    <row r="111" spans="12:12">
      <c r="L111" s="2601"/>
    </row>
    <row r="112" spans="12:12">
      <c r="L112" s="2601"/>
    </row>
    <row r="113" spans="12:12">
      <c r="L113" s="2601"/>
    </row>
    <row r="114" spans="12:12">
      <c r="L114" s="2601"/>
    </row>
    <row r="115" spans="12:12">
      <c r="L115" s="2601"/>
    </row>
    <row r="116" spans="12:12">
      <c r="L116" s="2601"/>
    </row>
    <row r="117" spans="12:12">
      <c r="L117" s="2601"/>
    </row>
    <row r="118" spans="12:12">
      <c r="L118" s="2601"/>
    </row>
    <row r="119" spans="12:12">
      <c r="L119" s="2601"/>
    </row>
    <row r="120" spans="12:12">
      <c r="L120" s="2601"/>
    </row>
    <row r="121" spans="12:12">
      <c r="L121" s="2601"/>
    </row>
    <row r="122" spans="12:12">
      <c r="L122" s="2601"/>
    </row>
    <row r="123" spans="12:12">
      <c r="L123" s="2601"/>
    </row>
    <row r="124" spans="12:12">
      <c r="L124" s="2601"/>
    </row>
    <row r="125" spans="12:12">
      <c r="L125" s="2601"/>
    </row>
    <row r="126" spans="12:12">
      <c r="L126" s="2601"/>
    </row>
    <row r="127" spans="12:12">
      <c r="L127" s="2601"/>
    </row>
    <row r="128" spans="12:12">
      <c r="L128" s="2601"/>
    </row>
    <row r="129" spans="12:12">
      <c r="L129" s="2601"/>
    </row>
    <row r="130" spans="12:12">
      <c r="L130" s="2601"/>
    </row>
    <row r="131" spans="12:12">
      <c r="L131" s="2601"/>
    </row>
    <row r="132" spans="12:12">
      <c r="L132" s="2601"/>
    </row>
    <row r="133" spans="12:12">
      <c r="L133" s="2601"/>
    </row>
    <row r="134" spans="12:12">
      <c r="L134" s="2601"/>
    </row>
    <row r="135" spans="12:12">
      <c r="L135" s="2601"/>
    </row>
    <row r="136" spans="12:12">
      <c r="L136" s="2601"/>
    </row>
    <row r="137" spans="12:12">
      <c r="L137" s="2601"/>
    </row>
    <row r="138" spans="12:12">
      <c r="L138" s="2601"/>
    </row>
    <row r="139" spans="12:12">
      <c r="L139" s="2601"/>
    </row>
    <row r="140" spans="12:12">
      <c r="L140" s="2601"/>
    </row>
    <row r="141" spans="12:12">
      <c r="L141" s="2601"/>
    </row>
    <row r="142" spans="12:12">
      <c r="L142" s="2601"/>
    </row>
    <row r="143" spans="12:12">
      <c r="L143" s="2601"/>
    </row>
    <row r="144" spans="12:12">
      <c r="L144" s="2601"/>
    </row>
    <row r="145" spans="12:12">
      <c r="L145" s="2601"/>
    </row>
    <row r="146" spans="12:12">
      <c r="L146" s="2601"/>
    </row>
    <row r="147" spans="12:12">
      <c r="L147" s="2601"/>
    </row>
    <row r="148" spans="12:12">
      <c r="L148" s="2601"/>
    </row>
    <row r="149" spans="12:12">
      <c r="L149" s="2601"/>
    </row>
    <row r="150" spans="12:12">
      <c r="L150" s="2601"/>
    </row>
    <row r="151" spans="12:12">
      <c r="L151" s="2601"/>
    </row>
    <row r="152" spans="12:12">
      <c r="L152" s="2601"/>
    </row>
    <row r="153" spans="12:12">
      <c r="L153" s="2601"/>
    </row>
    <row r="154" spans="12:12">
      <c r="L154" s="2601"/>
    </row>
    <row r="155" spans="12:12">
      <c r="L155" s="2601"/>
    </row>
    <row r="156" spans="12:12">
      <c r="L156" s="2601"/>
    </row>
    <row r="157" spans="12:12">
      <c r="L157" s="2601"/>
    </row>
    <row r="158" spans="12:12">
      <c r="L158" s="2601"/>
    </row>
    <row r="159" spans="12:12">
      <c r="L159" s="2601"/>
    </row>
    <row r="160" spans="12:12">
      <c r="L160" s="2601"/>
    </row>
    <row r="161" spans="12:12">
      <c r="L161" s="2601"/>
    </row>
    <row r="162" spans="12:12">
      <c r="L162" s="2601"/>
    </row>
    <row r="163" spans="12:12">
      <c r="L163" s="2601"/>
    </row>
    <row r="164" spans="12:12">
      <c r="L164" s="2601"/>
    </row>
    <row r="165" spans="12:12">
      <c r="L165" s="2601"/>
    </row>
    <row r="166" spans="12:12">
      <c r="L166" s="2601"/>
    </row>
    <row r="167" spans="12:12">
      <c r="L167" s="2601"/>
    </row>
    <row r="168" spans="12:12">
      <c r="L168" s="2601"/>
    </row>
    <row r="169" spans="12:12">
      <c r="L169" s="2601"/>
    </row>
    <row r="170" spans="12:12">
      <c r="L170" s="2601"/>
    </row>
    <row r="171" spans="12:12">
      <c r="L171" s="2601"/>
    </row>
    <row r="172" spans="12:12">
      <c r="L172" s="2601"/>
    </row>
    <row r="173" spans="12:12">
      <c r="L173" s="2601"/>
    </row>
    <row r="174" spans="12:12">
      <c r="L174" s="2601"/>
    </row>
    <row r="175" spans="12:12">
      <c r="L175" s="2601"/>
    </row>
    <row r="176" spans="12:12">
      <c r="L176" s="2601"/>
    </row>
    <row r="177" spans="12:12">
      <c r="L177" s="2601"/>
    </row>
    <row r="178" spans="12:12">
      <c r="L178" s="2601"/>
    </row>
    <row r="179" spans="12:12">
      <c r="L179" s="2601"/>
    </row>
    <row r="180" spans="12:12">
      <c r="L180" s="2601"/>
    </row>
    <row r="181" spans="12:12">
      <c r="L181" s="2601"/>
    </row>
    <row r="182" spans="12:12">
      <c r="L182" s="2601"/>
    </row>
    <row r="183" spans="12:12">
      <c r="L183" s="2601"/>
    </row>
    <row r="184" spans="12:12">
      <c r="L184" s="2601"/>
    </row>
    <row r="185" spans="12:12">
      <c r="L185" s="2601"/>
    </row>
    <row r="186" spans="12:12">
      <c r="L186" s="2601"/>
    </row>
    <row r="187" spans="12:12">
      <c r="L187" s="2601"/>
    </row>
    <row r="188" spans="12:12">
      <c r="L188" s="2601"/>
    </row>
    <row r="189" spans="12:12">
      <c r="L189" s="2601"/>
    </row>
    <row r="190" spans="12:12">
      <c r="L190" s="2601"/>
    </row>
    <row r="191" spans="12:12">
      <c r="L191" s="2601"/>
    </row>
    <row r="192" spans="12:12">
      <c r="L192" s="2601"/>
    </row>
    <row r="193" spans="12:12">
      <c r="L193" s="2601"/>
    </row>
    <row r="194" spans="12:12">
      <c r="L194" s="2601"/>
    </row>
    <row r="195" spans="12:12">
      <c r="L195" s="2601"/>
    </row>
    <row r="196" spans="12:12">
      <c r="L196" s="2601"/>
    </row>
    <row r="197" spans="12:12">
      <c r="L197" s="2601"/>
    </row>
    <row r="198" spans="12:12">
      <c r="L198" s="2601"/>
    </row>
    <row r="199" spans="12:12">
      <c r="L199" s="2601"/>
    </row>
    <row r="200" spans="12:12">
      <c r="L200" s="2601"/>
    </row>
    <row r="201" spans="12:12">
      <c r="L201" s="2601"/>
    </row>
    <row r="202" spans="12:12">
      <c r="L202" s="2601"/>
    </row>
    <row r="203" spans="12:12">
      <c r="L203" s="2601"/>
    </row>
    <row r="204" spans="12:12">
      <c r="L204" s="2601"/>
    </row>
    <row r="205" spans="12:12">
      <c r="L205" s="2601"/>
    </row>
    <row r="206" spans="12:12">
      <c r="L206" s="2601"/>
    </row>
    <row r="207" spans="12:12">
      <c r="L207" s="2601"/>
    </row>
    <row r="208" spans="12:12">
      <c r="L208" s="2601"/>
    </row>
    <row r="209" spans="12:12">
      <c r="L209" s="2601"/>
    </row>
    <row r="210" spans="12:12">
      <c r="L210" s="2601"/>
    </row>
    <row r="211" spans="12:12">
      <c r="L211" s="2601"/>
    </row>
    <row r="212" spans="12:12">
      <c r="L212" s="2601"/>
    </row>
    <row r="213" spans="12:12">
      <c r="L213" s="2601"/>
    </row>
    <row r="214" spans="12:12">
      <c r="L214" s="2601"/>
    </row>
    <row r="215" spans="12:12">
      <c r="L215" s="2601"/>
    </row>
    <row r="216" spans="12:12">
      <c r="L216" s="2601"/>
    </row>
    <row r="217" spans="12:12">
      <c r="L217" s="2601"/>
    </row>
    <row r="218" spans="12:12">
      <c r="L218" s="2601"/>
    </row>
    <row r="219" spans="12:12">
      <c r="L219" s="2601"/>
    </row>
    <row r="220" spans="12:12">
      <c r="L220" s="2601"/>
    </row>
    <row r="221" spans="12:12">
      <c r="L221" s="2601"/>
    </row>
    <row r="222" spans="12:12">
      <c r="L222" s="2601"/>
    </row>
    <row r="223" spans="12:12">
      <c r="L223" s="2601"/>
    </row>
    <row r="224" spans="12:12">
      <c r="L224" s="2601"/>
    </row>
    <row r="225" spans="12:12">
      <c r="L225" s="2601"/>
    </row>
    <row r="226" spans="12:12">
      <c r="L226" s="2601"/>
    </row>
    <row r="227" spans="12:12">
      <c r="L227" s="2601"/>
    </row>
    <row r="228" spans="12:12">
      <c r="L228" s="2601"/>
    </row>
    <row r="229" spans="12:12">
      <c r="L229" s="2601"/>
    </row>
    <row r="230" spans="12:12">
      <c r="L230" s="2601"/>
    </row>
    <row r="231" spans="12:12">
      <c r="L231" s="2601"/>
    </row>
    <row r="232" spans="12:12">
      <c r="L232" s="2601"/>
    </row>
    <row r="233" spans="12:12">
      <c r="L233" s="2601"/>
    </row>
    <row r="234" spans="12:12">
      <c r="L234" s="2601"/>
    </row>
    <row r="235" spans="12:12">
      <c r="L235" s="2601"/>
    </row>
    <row r="236" spans="12:12">
      <c r="L236" s="2601"/>
    </row>
    <row r="237" spans="12:12">
      <c r="L237" s="2601"/>
    </row>
    <row r="238" spans="12:12">
      <c r="L238" s="2601"/>
    </row>
    <row r="239" spans="12:12">
      <c r="L239" s="2601"/>
    </row>
    <row r="240" spans="12:12">
      <c r="L240" s="2601"/>
    </row>
    <row r="241" spans="12:12">
      <c r="L241" s="2601"/>
    </row>
    <row r="242" spans="12:12">
      <c r="L242" s="2601"/>
    </row>
    <row r="243" spans="12:12">
      <c r="L243" s="2601"/>
    </row>
    <row r="244" spans="12:12">
      <c r="L244" s="2601"/>
    </row>
    <row r="245" spans="12:12">
      <c r="L245" s="2601"/>
    </row>
    <row r="246" spans="12:12">
      <c r="L246" s="2601"/>
    </row>
    <row r="247" spans="12:12">
      <c r="L247" s="2601"/>
    </row>
    <row r="248" spans="12:12">
      <c r="L248" s="2601"/>
    </row>
    <row r="249" spans="12:12">
      <c r="L249" s="2601"/>
    </row>
    <row r="250" spans="12:12">
      <c r="L250" s="2601"/>
    </row>
    <row r="251" spans="12:12">
      <c r="L251" s="2601"/>
    </row>
    <row r="252" spans="12:12">
      <c r="L252" s="2601"/>
    </row>
    <row r="253" spans="12:12">
      <c r="L253" s="2601"/>
    </row>
    <row r="254" spans="12:12">
      <c r="L254" s="2601"/>
    </row>
    <row r="255" spans="12:12">
      <c r="L255" s="2601"/>
    </row>
    <row r="256" spans="12:12">
      <c r="L256" s="2601"/>
    </row>
    <row r="257" spans="12:12">
      <c r="L257" s="2601"/>
    </row>
    <row r="258" spans="12:12">
      <c r="L258" s="2601"/>
    </row>
    <row r="259" spans="12:12">
      <c r="L259" s="2601"/>
    </row>
    <row r="260" spans="12:12">
      <c r="L260" s="2601"/>
    </row>
    <row r="261" spans="12:12">
      <c r="L261" s="2601"/>
    </row>
    <row r="262" spans="12:12">
      <c r="L262" s="2601"/>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41 AI26 AI4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145" workbookViewId="0"/>
  </sheetViews>
  <sheetFormatPr defaultColWidth="8.81640625" defaultRowHeight="15"/>
  <cols>
    <col min="1" max="1" width="2.54296875" style="98" customWidth="1"/>
    <col min="2" max="2" width="15.81640625" style="98" customWidth="1"/>
    <col min="3" max="3" width="25.08984375" style="98" customWidth="1"/>
    <col min="4" max="4" width="2" style="98" customWidth="1"/>
    <col min="5" max="5" width="12.54296875" style="98" customWidth="1"/>
    <col min="6" max="6" width="1.81640625" style="98" customWidth="1"/>
    <col min="7" max="7" width="10.81640625" style="98" customWidth="1"/>
    <col min="8" max="8" width="1.81640625" style="98" customWidth="1"/>
    <col min="9" max="9" width="10.81640625" style="98" customWidth="1"/>
    <col min="10" max="10" width="1.81640625" style="98" customWidth="1"/>
    <col min="11" max="11" width="10" style="98" customWidth="1"/>
    <col min="12" max="12" width="1.08984375" style="98" customWidth="1"/>
    <col min="13" max="13" width="10.54296875" style="98" customWidth="1"/>
    <col min="14" max="14" width="1.81640625" style="98" customWidth="1"/>
    <col min="15" max="15" width="12.453125" style="98" customWidth="1"/>
    <col min="16" max="16" width="1.81640625" style="98" customWidth="1"/>
    <col min="17" max="17" width="12.08984375" style="98" customWidth="1"/>
    <col min="18" max="18" width="1.81640625" style="98" customWidth="1"/>
    <col min="19" max="19" width="12.08984375" style="98" customWidth="1"/>
    <col min="20" max="20" width="1.81640625" style="98" customWidth="1"/>
    <col min="21" max="21" width="10.81640625" style="98" customWidth="1"/>
    <col min="22" max="22" width="1.81640625" style="98" customWidth="1"/>
    <col min="23" max="23" width="13.81640625" style="98" customWidth="1"/>
    <col min="24" max="24" width="1.81640625" style="98" customWidth="1"/>
    <col min="25" max="25" width="12.81640625" style="98" customWidth="1"/>
    <col min="26" max="26" width="1.81640625" style="98" customWidth="1"/>
    <col min="27" max="27" width="11.81640625" style="98" bestFit="1" customWidth="1"/>
    <col min="28" max="28" width="1.453125" style="98" customWidth="1"/>
    <col min="29" max="29" width="11.08984375" style="98" customWidth="1"/>
    <col min="30" max="31" width="1.81640625" style="98" customWidth="1"/>
    <col min="32" max="32" width="12.81640625" style="98" customWidth="1"/>
    <col min="33" max="34" width="1.08984375" style="98" customWidth="1"/>
    <col min="35" max="35" width="12.81640625" style="1078" customWidth="1"/>
    <col min="36" max="37" width="1" style="98" customWidth="1"/>
    <col min="38" max="38" width="13.08984375" style="98" bestFit="1" customWidth="1"/>
    <col min="39" max="39" width="1.08984375" style="98" customWidth="1"/>
    <col min="40" max="40" width="12.08984375" style="98" customWidth="1"/>
    <col min="41" max="16384" width="8.81640625" style="98"/>
  </cols>
  <sheetData>
    <row r="1" spans="1:42">
      <c r="B1" s="635" t="s">
        <v>881</v>
      </c>
    </row>
    <row r="2" spans="1:42">
      <c r="B2" s="814"/>
    </row>
    <row r="3" spans="1:42" ht="19.5" customHeight="1">
      <c r="A3" s="311"/>
      <c r="B3" s="317" t="s">
        <v>0</v>
      </c>
      <c r="C3" s="312"/>
      <c r="D3" s="312"/>
      <c r="E3" s="312"/>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1080"/>
      <c r="AJ3" s="313"/>
      <c r="AK3" s="313"/>
      <c r="AN3" s="387" t="s">
        <v>193</v>
      </c>
    </row>
    <row r="4" spans="1:42" ht="19.5" customHeight="1">
      <c r="A4" s="311"/>
      <c r="B4" s="317" t="s">
        <v>908</v>
      </c>
      <c r="C4" s="312"/>
      <c r="D4" s="312"/>
      <c r="E4" s="312"/>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G4" s="314"/>
      <c r="AH4" s="314"/>
    </row>
    <row r="5" spans="1:42" ht="19.5" customHeight="1">
      <c r="A5" s="311"/>
      <c r="B5" s="298" t="s">
        <v>147</v>
      </c>
      <c r="C5" s="312"/>
      <c r="D5" s="312"/>
      <c r="E5" s="312"/>
      <c r="F5" s="313"/>
      <c r="G5" s="313"/>
      <c r="H5" s="313"/>
      <c r="I5" s="313"/>
      <c r="J5" s="313"/>
      <c r="K5" s="313"/>
      <c r="L5" s="313"/>
      <c r="M5" s="313"/>
      <c r="N5" s="313"/>
      <c r="O5" s="313"/>
      <c r="P5" s="313"/>
      <c r="Q5" s="313"/>
      <c r="R5" s="313"/>
      <c r="S5" s="313" t="s">
        <v>14</v>
      </c>
      <c r="T5" s="313"/>
      <c r="U5" s="313" t="s">
        <v>14</v>
      </c>
      <c r="V5" s="313"/>
      <c r="W5" s="313"/>
      <c r="X5" s="313"/>
      <c r="Y5" s="313"/>
      <c r="Z5" s="313"/>
      <c r="AA5" s="313"/>
      <c r="AB5" s="313"/>
      <c r="AC5" s="313"/>
      <c r="AD5" s="313"/>
      <c r="AE5" s="313"/>
      <c r="AF5" s="313"/>
      <c r="AG5" s="313"/>
      <c r="AH5" s="313"/>
      <c r="AI5" s="1080"/>
      <c r="AJ5" s="313"/>
      <c r="AK5" s="313"/>
      <c r="AN5" s="266"/>
    </row>
    <row r="6" spans="1:42" ht="19.5" customHeight="1">
      <c r="A6" s="311"/>
      <c r="B6" s="1514" t="str">
        <f>'Cashflow Governmental'!A6</f>
        <v xml:space="preserve">FISCAL YEAR 2021-2022   </v>
      </c>
      <c r="C6" s="312"/>
      <c r="D6" s="312"/>
      <c r="E6" s="312"/>
      <c r="F6" s="313"/>
      <c r="G6" s="313"/>
      <c r="H6" s="315"/>
      <c r="I6" s="313"/>
      <c r="J6" s="313"/>
      <c r="K6" s="313"/>
      <c r="L6" s="313"/>
      <c r="M6" s="313"/>
      <c r="N6" s="313"/>
      <c r="O6" s="313"/>
      <c r="P6" s="313"/>
      <c r="Q6" s="313"/>
      <c r="R6" s="313"/>
      <c r="S6" s="313" t="s">
        <v>14</v>
      </c>
      <c r="T6" s="313"/>
      <c r="U6" s="313"/>
      <c r="V6" s="313"/>
      <c r="W6" s="313"/>
      <c r="X6" s="313"/>
      <c r="Y6" s="313"/>
      <c r="Z6" s="313"/>
      <c r="AA6" s="313"/>
      <c r="AB6" s="313"/>
      <c r="AC6" s="313"/>
      <c r="AD6" s="313"/>
      <c r="AE6" s="313"/>
      <c r="AF6" s="313"/>
      <c r="AG6" s="316"/>
      <c r="AH6" s="316"/>
      <c r="AI6" s="1085"/>
      <c r="AJ6" s="316"/>
      <c r="AK6" s="316"/>
    </row>
    <row r="7" spans="1:42" ht="19.5" customHeight="1">
      <c r="A7" s="311"/>
      <c r="B7" s="317" t="s">
        <v>1267</v>
      </c>
      <c r="C7" s="312"/>
      <c r="D7" s="312"/>
      <c r="E7" s="312"/>
      <c r="F7" s="313"/>
      <c r="G7" s="313"/>
      <c r="H7" s="315"/>
      <c r="I7" s="313"/>
      <c r="J7" s="313"/>
      <c r="K7" s="313"/>
      <c r="L7" s="313"/>
      <c r="M7" s="313"/>
      <c r="N7" s="313"/>
      <c r="O7" s="313"/>
      <c r="P7" s="313"/>
      <c r="Q7" s="313"/>
      <c r="R7" s="313"/>
      <c r="S7" s="313" t="s">
        <v>14</v>
      </c>
      <c r="T7" s="313"/>
      <c r="U7" s="313"/>
      <c r="V7" s="313"/>
      <c r="W7" s="313"/>
      <c r="X7" s="313"/>
      <c r="Y7" s="313"/>
      <c r="Z7" s="313"/>
      <c r="AA7" s="313"/>
      <c r="AB7" s="313"/>
      <c r="AC7" s="313"/>
      <c r="AD7" s="313"/>
      <c r="AE7" s="313"/>
      <c r="AF7" s="313"/>
      <c r="AG7" s="316"/>
      <c r="AH7" s="316"/>
      <c r="AI7" s="1085"/>
      <c r="AJ7" s="316"/>
      <c r="AK7" s="316"/>
    </row>
    <row r="8" spans="1:42" ht="19.5" customHeight="1">
      <c r="A8" s="311"/>
      <c r="C8" s="312"/>
      <c r="D8" s="312"/>
      <c r="E8" s="312"/>
      <c r="F8" s="313"/>
      <c r="G8" s="313"/>
      <c r="H8" s="313"/>
      <c r="I8" s="313"/>
      <c r="J8" s="313"/>
      <c r="K8" s="313"/>
      <c r="L8" s="313"/>
      <c r="M8" s="313"/>
      <c r="N8" s="313"/>
      <c r="O8" s="313"/>
      <c r="P8" s="313"/>
      <c r="Q8" s="313"/>
      <c r="R8" s="313"/>
      <c r="S8" s="313" t="s">
        <v>14</v>
      </c>
      <c r="T8" s="313"/>
      <c r="U8" s="313"/>
      <c r="V8" s="313"/>
      <c r="W8" s="313"/>
      <c r="X8" s="313"/>
      <c r="Y8" s="313"/>
      <c r="Z8" s="313"/>
      <c r="AA8" s="313"/>
      <c r="AB8" s="313"/>
      <c r="AC8" s="313"/>
      <c r="AD8" s="313"/>
      <c r="AE8" s="318"/>
    </row>
    <row r="9" spans="1:42" ht="15.75" customHeight="1">
      <c r="A9" s="311"/>
      <c r="B9" s="317"/>
      <c r="C9" s="312"/>
      <c r="D9" s="312"/>
      <c r="E9" s="312"/>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8"/>
    </row>
    <row r="10" spans="1:42" ht="15.75" customHeight="1">
      <c r="A10" s="311"/>
      <c r="B10" s="319"/>
      <c r="C10" s="312"/>
      <c r="D10" s="312"/>
      <c r="E10" s="312"/>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8"/>
    </row>
    <row r="11" spans="1:42" ht="15.75" customHeight="1">
      <c r="A11" s="311"/>
      <c r="B11" s="319"/>
      <c r="C11" s="312"/>
      <c r="D11" s="312"/>
      <c r="E11" s="745"/>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3" t="s">
        <v>1166</v>
      </c>
      <c r="AD11" s="746"/>
      <c r="AE11" s="747"/>
      <c r="AF11" s="3980" t="s">
        <v>1572</v>
      </c>
      <c r="AG11" s="3981"/>
      <c r="AH11" s="3981"/>
      <c r="AI11" s="3981"/>
      <c r="AJ11" s="3981"/>
      <c r="AK11" s="3981"/>
      <c r="AL11" s="3981"/>
      <c r="AM11" s="3981"/>
      <c r="AN11" s="3981"/>
    </row>
    <row r="12" spans="1:42" ht="15.75" customHeight="1">
      <c r="A12" s="320"/>
      <c r="B12" s="320"/>
      <c r="C12" s="320"/>
      <c r="D12" s="320"/>
      <c r="E12" s="735" t="str">
        <f>'Cashflow Governmental'!C13</f>
        <v>2021</v>
      </c>
      <c r="F12" s="748"/>
      <c r="G12" s="748"/>
      <c r="H12" s="748"/>
      <c r="I12" s="748"/>
      <c r="J12" s="748"/>
      <c r="K12" s="748"/>
      <c r="L12" s="748"/>
      <c r="M12" s="748"/>
      <c r="N12" s="748"/>
      <c r="O12" s="748"/>
      <c r="P12" s="748"/>
      <c r="Q12" s="748"/>
      <c r="R12" s="748"/>
      <c r="S12" s="748"/>
      <c r="T12" s="748"/>
      <c r="U12" s="748"/>
      <c r="V12" s="748"/>
      <c r="W12" s="735">
        <f>'Cashflow Governmental'!U13</f>
        <v>2022</v>
      </c>
      <c r="X12" s="748"/>
      <c r="Y12" s="748"/>
      <c r="Z12" s="748"/>
      <c r="AA12" s="748"/>
      <c r="AB12" s="748"/>
      <c r="AC12" s="743" t="s">
        <v>1167</v>
      </c>
      <c r="AD12" s="748"/>
      <c r="AE12" s="748"/>
      <c r="AF12" s="749"/>
      <c r="AG12" s="749"/>
      <c r="AH12" s="749"/>
      <c r="AI12" s="1087"/>
      <c r="AJ12" s="749"/>
      <c r="AK12" s="749"/>
      <c r="AL12" s="739" t="s">
        <v>7</v>
      </c>
      <c r="AM12" s="739"/>
      <c r="AN12" s="736" t="s">
        <v>8</v>
      </c>
      <c r="AO12" s="752"/>
    </row>
    <row r="13" spans="1:42" ht="15.75" customHeight="1">
      <c r="A13" s="28"/>
      <c r="B13" s="28"/>
      <c r="C13" s="28"/>
      <c r="D13" s="28"/>
      <c r="E13" s="1106" t="s">
        <v>123</v>
      </c>
      <c r="F13" s="251"/>
      <c r="G13" s="1106" t="s">
        <v>124</v>
      </c>
      <c r="H13" s="251"/>
      <c r="I13" s="1106" t="s">
        <v>125</v>
      </c>
      <c r="J13" s="251"/>
      <c r="K13" s="1106" t="s">
        <v>126</v>
      </c>
      <c r="L13" s="251"/>
      <c r="M13" s="1913" t="s">
        <v>127</v>
      </c>
      <c r="N13" s="251"/>
      <c r="O13" s="1106" t="s">
        <v>142</v>
      </c>
      <c r="P13" s="251"/>
      <c r="Q13" s="1106" t="s">
        <v>143</v>
      </c>
      <c r="R13" s="251"/>
      <c r="S13" s="1106" t="s">
        <v>130</v>
      </c>
      <c r="T13" s="251"/>
      <c r="U13" s="1106" t="s">
        <v>131</v>
      </c>
      <c r="V13" s="251"/>
      <c r="W13" s="1106" t="s">
        <v>132</v>
      </c>
      <c r="X13" s="251"/>
      <c r="Y13" s="1106" t="s">
        <v>133</v>
      </c>
      <c r="Z13" s="251"/>
      <c r="AA13" s="1106" t="s">
        <v>184</v>
      </c>
      <c r="AB13" s="743"/>
      <c r="AC13" s="1929" t="s">
        <v>1168</v>
      </c>
      <c r="AD13" s="251"/>
      <c r="AE13" s="251"/>
      <c r="AF13" s="1106">
        <f>'Cashflow Governmental'!AB14</f>
        <v>2022</v>
      </c>
      <c r="AG13" s="251"/>
      <c r="AH13" s="251"/>
      <c r="AI13" s="750">
        <f>'Cashflow Governmental'!AE14</f>
        <v>2021</v>
      </c>
      <c r="AJ13" s="751"/>
      <c r="AK13" s="751"/>
      <c r="AL13" s="744" t="s">
        <v>11</v>
      </c>
      <c r="AM13" s="738"/>
      <c r="AN13" s="744" t="s">
        <v>12</v>
      </c>
      <c r="AO13" s="1108"/>
      <c r="AP13" s="322"/>
    </row>
    <row r="14" spans="1:42" ht="6" customHeight="1">
      <c r="A14" s="28"/>
      <c r="B14" s="26"/>
      <c r="C14" s="26"/>
      <c r="D14" s="28"/>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114"/>
      <c r="AJ14" s="56"/>
      <c r="AK14" s="163"/>
      <c r="AL14" s="322"/>
      <c r="AM14" s="322"/>
      <c r="AN14" s="322"/>
      <c r="AO14" s="322"/>
    </row>
    <row r="15" spans="1:42" ht="15.75" customHeight="1">
      <c r="A15" s="28"/>
      <c r="B15" s="170" t="s">
        <v>1131</v>
      </c>
      <c r="C15" s="26"/>
      <c r="D15" s="28"/>
      <c r="E15" s="303">
        <f>'Exhibit I State'!E14+'Exhibit I Federal'!E14</f>
        <v>-1144</v>
      </c>
      <c r="F15" s="91"/>
      <c r="G15" s="91">
        <f>E103</f>
        <v>-1121.8</v>
      </c>
      <c r="H15" s="91"/>
      <c r="I15" s="91">
        <f>G103</f>
        <v>-1346.9</v>
      </c>
      <c r="J15" s="91"/>
      <c r="K15" s="91">
        <f>I103</f>
        <v>-1561.7</v>
      </c>
      <c r="L15" s="91"/>
      <c r="M15" s="91">
        <f>K103</f>
        <v>-1706.2</v>
      </c>
      <c r="N15" s="91"/>
      <c r="O15" s="91">
        <f>M103</f>
        <v>-1798.6</v>
      </c>
      <c r="P15" s="91"/>
      <c r="Q15" s="91">
        <f>O103</f>
        <v>-2189.6999999999998</v>
      </c>
      <c r="R15" s="91"/>
      <c r="S15" s="91">
        <f>Q103</f>
        <v>-1558</v>
      </c>
      <c r="T15" s="91"/>
      <c r="U15" s="91">
        <f>S103</f>
        <v>-1566.8</v>
      </c>
      <c r="V15" s="91"/>
      <c r="W15" s="91">
        <f>U103</f>
        <v>-1663.3</v>
      </c>
      <c r="X15" s="91"/>
      <c r="Y15" s="91"/>
      <c r="Z15" s="91"/>
      <c r="AA15" s="91"/>
      <c r="AB15" s="91"/>
      <c r="AC15" s="91"/>
      <c r="AD15" s="91"/>
      <c r="AE15" s="92"/>
      <c r="AF15" s="132">
        <f>E15</f>
        <v>-1144</v>
      </c>
      <c r="AG15" s="215"/>
      <c r="AH15" s="216"/>
      <c r="AI15" s="3397">
        <f>'Exhibit I State'!AG14+'Exhibit I Federal'!AG14</f>
        <v>-1034.9000000000001</v>
      </c>
      <c r="AJ15" s="91"/>
      <c r="AK15" s="324"/>
      <c r="AL15" s="323">
        <f>+AF15-AI15</f>
        <v>-109.09999999999991</v>
      </c>
      <c r="AM15" s="325"/>
      <c r="AN15" s="1415">
        <f>ROUND(IF(AI15=0,0,-AL15/(AI15)),3)</f>
        <v>-0.105</v>
      </c>
      <c r="AO15" s="327"/>
    </row>
    <row r="16" spans="1:42" ht="15.75" customHeight="1">
      <c r="A16" s="28"/>
      <c r="B16" s="26"/>
      <c r="C16" s="26"/>
      <c r="D16" s="28"/>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249"/>
      <c r="AF16" s="162"/>
      <c r="AG16" s="257"/>
      <c r="AH16" s="56"/>
      <c r="AI16" s="137"/>
      <c r="AJ16" s="162"/>
      <c r="AK16" s="321"/>
      <c r="AL16" s="322"/>
      <c r="AM16" s="322"/>
      <c r="AN16" s="322"/>
    </row>
    <row r="17" spans="1:46" ht="15.6">
      <c r="A17" s="28"/>
      <c r="B17" s="26" t="s">
        <v>194</v>
      </c>
      <c r="C17" s="28"/>
      <c r="D17" s="28"/>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249"/>
      <c r="AF17" s="137"/>
      <c r="AG17" s="257"/>
      <c r="AH17" s="56"/>
      <c r="AI17" s="137"/>
      <c r="AJ17" s="162"/>
      <c r="AK17" s="321"/>
      <c r="AL17" s="322"/>
      <c r="AM17" s="322"/>
      <c r="AN17" s="322"/>
    </row>
    <row r="18" spans="1:46" ht="15.6">
      <c r="A18" s="28"/>
      <c r="B18" s="258" t="s">
        <v>991</v>
      </c>
      <c r="C18" s="28"/>
      <c r="D18" s="28"/>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249"/>
      <c r="AF18" s="137"/>
      <c r="AG18" s="1052"/>
      <c r="AH18" s="56"/>
      <c r="AI18" s="137"/>
      <c r="AJ18" s="162"/>
      <c r="AK18" s="321"/>
      <c r="AL18" s="322"/>
      <c r="AM18" s="322"/>
      <c r="AN18" s="322"/>
    </row>
    <row r="19" spans="1:46" ht="15.6">
      <c r="A19" s="28"/>
      <c r="B19" s="1039" t="s">
        <v>1050</v>
      </c>
      <c r="C19" s="28"/>
      <c r="D19" s="28"/>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249"/>
      <c r="AF19" s="137"/>
      <c r="AG19" s="1052"/>
      <c r="AH19" s="56"/>
      <c r="AI19" s="137"/>
      <c r="AJ19" s="162"/>
      <c r="AK19" s="321"/>
      <c r="AL19" s="322"/>
      <c r="AM19" s="322"/>
      <c r="AN19" s="322"/>
    </row>
    <row r="20" spans="1:46">
      <c r="A20" s="28"/>
      <c r="B20" s="661" t="s">
        <v>1007</v>
      </c>
      <c r="C20" s="28"/>
      <c r="D20" s="28"/>
      <c r="E20" s="1352">
        <f>+'Exhibit I State'!E19</f>
        <v>2.1</v>
      </c>
      <c r="F20" s="1407"/>
      <c r="G20" s="1352">
        <f>+'Exhibit I State'!G19</f>
        <v>0</v>
      </c>
      <c r="H20" s="1407"/>
      <c r="I20" s="1352">
        <f>+'Exhibit I State'!I19</f>
        <v>17.5</v>
      </c>
      <c r="J20" s="1427"/>
      <c r="K20" s="1352">
        <f>+'Exhibit I State'!K19</f>
        <v>0.10000000000000142</v>
      </c>
      <c r="L20" s="1443"/>
      <c r="M20" s="1352">
        <f>+'Exhibit I State'!M19</f>
        <v>-0.10000000000000142</v>
      </c>
      <c r="N20" s="1443"/>
      <c r="O20" s="1352">
        <f>+'Exhibit I State'!O19</f>
        <v>26.299999999999997</v>
      </c>
      <c r="P20" s="299"/>
      <c r="Q20" s="1352">
        <f>+'Exhibit I State'!Q19</f>
        <v>0</v>
      </c>
      <c r="R20" s="299"/>
      <c r="S20" s="1352">
        <f>+'Exhibit I State'!S19</f>
        <v>0.10000000000000142</v>
      </c>
      <c r="T20" s="299"/>
      <c r="U20" s="1352">
        <f>+'Exhibit I State'!U19</f>
        <v>22.300000000000004</v>
      </c>
      <c r="V20" s="299"/>
      <c r="W20" s="1352">
        <f>+'Exhibit I State'!W19</f>
        <v>0</v>
      </c>
      <c r="X20" s="299"/>
      <c r="Y20" s="1352"/>
      <c r="Z20" s="299"/>
      <c r="AA20" s="1352"/>
      <c r="AB20" s="1352"/>
      <c r="AC20" s="1352">
        <v>0</v>
      </c>
      <c r="AD20" s="1040"/>
      <c r="AE20" s="299"/>
      <c r="AF20" s="115">
        <f>ROUND(SUM(E20:AC20),1)</f>
        <v>68.3</v>
      </c>
      <c r="AG20" s="1041"/>
      <c r="AH20" s="300"/>
      <c r="AI20" s="3398">
        <f>+'Exhibit I State'!AG19</f>
        <v>41.8</v>
      </c>
      <c r="AJ20" s="301"/>
      <c r="AK20" s="305"/>
      <c r="AL20" s="308">
        <f>ROUND(SUM(AF20-AI20),1)</f>
        <v>26.5</v>
      </c>
      <c r="AM20" s="302"/>
      <c r="AN20" s="1463">
        <f>ROUND(IF(AI20=0,0,AL20/ABS(AI20)),3)</f>
        <v>0.63400000000000001</v>
      </c>
      <c r="AO20" s="542"/>
    </row>
    <row r="21" spans="1:46">
      <c r="A21" s="28"/>
      <c r="B21" s="661" t="s">
        <v>1009</v>
      </c>
      <c r="C21" s="28"/>
      <c r="D21" s="28"/>
      <c r="E21" s="1352">
        <f>+'Exhibit I State'!E20</f>
        <v>26.9</v>
      </c>
      <c r="F21" s="1407"/>
      <c r="G21" s="1352">
        <f>+'Exhibit I State'!G20</f>
        <v>31.700000000000003</v>
      </c>
      <c r="H21" s="1407"/>
      <c r="I21" s="1352">
        <f>+'Exhibit I State'!I20</f>
        <v>36.700000000000003</v>
      </c>
      <c r="J21" s="1427"/>
      <c r="K21" s="1352">
        <f>+'Exhibit I State'!K20</f>
        <v>35</v>
      </c>
      <c r="L21" s="1443"/>
      <c r="M21" s="1352">
        <f>+'Exhibit I State'!M20</f>
        <v>36.399999999999977</v>
      </c>
      <c r="N21" s="1443"/>
      <c r="O21" s="1352">
        <f>+'Exhibit I State'!O20</f>
        <v>37.600000000000009</v>
      </c>
      <c r="P21" s="299"/>
      <c r="Q21" s="1352">
        <f>+'Exhibit I State'!Q20</f>
        <v>34.700000000000003</v>
      </c>
      <c r="R21" s="299"/>
      <c r="S21" s="1352">
        <f>+'Exhibit I State'!S20</f>
        <v>23.399999999999977</v>
      </c>
      <c r="T21" s="299"/>
      <c r="U21" s="1352">
        <f>+'Exhibit I State'!U20</f>
        <v>37.500000000000057</v>
      </c>
      <c r="V21" s="299"/>
      <c r="W21" s="1352">
        <f>+'Exhibit I State'!W20</f>
        <v>23.900000000000034</v>
      </c>
      <c r="X21" s="299"/>
      <c r="Y21" s="1352"/>
      <c r="Z21" s="299"/>
      <c r="AA21" s="1352"/>
      <c r="AB21" s="1352"/>
      <c r="AC21" s="1352">
        <v>0</v>
      </c>
      <c r="AD21" s="1040"/>
      <c r="AE21" s="299"/>
      <c r="AF21" s="115">
        <f>ROUND(SUM(E21:AC21),1)</f>
        <v>323.8</v>
      </c>
      <c r="AG21" s="1041"/>
      <c r="AH21" s="300"/>
      <c r="AI21" s="3398">
        <f>+'Exhibit I State'!AG20</f>
        <v>282.3</v>
      </c>
      <c r="AJ21" s="301"/>
      <c r="AK21" s="305"/>
      <c r="AL21" s="308">
        <f>ROUND(SUM(AF21-AI21),1)</f>
        <v>41.5</v>
      </c>
      <c r="AM21" s="302"/>
      <c r="AN21" s="8">
        <f>ROUND(IF(AI21=0,0,AL21/ABS(AI21)),3)</f>
        <v>0.14699999999999999</v>
      </c>
      <c r="AO21" s="542"/>
    </row>
    <row r="22" spans="1:46">
      <c r="A22" s="28"/>
      <c r="B22" s="661" t="s">
        <v>1011</v>
      </c>
      <c r="C22" s="28"/>
      <c r="D22" s="28"/>
      <c r="E22" s="1352">
        <f>+'Exhibit I State'!E21</f>
        <v>14.5</v>
      </c>
      <c r="F22" s="1407"/>
      <c r="G22" s="1352">
        <f>+'Exhibit I State'!G21</f>
        <v>10.5</v>
      </c>
      <c r="H22" s="1407"/>
      <c r="I22" s="1352">
        <f>+'Exhibit I State'!I21</f>
        <v>11.600000000000001</v>
      </c>
      <c r="J22" s="1427"/>
      <c r="K22" s="1352">
        <f>+'Exhibit I State'!K21</f>
        <v>12.100000000000001</v>
      </c>
      <c r="L22" s="1443"/>
      <c r="M22" s="1352">
        <f>+'Exhibit I State'!M21</f>
        <v>13.299999999999997</v>
      </c>
      <c r="N22" s="1443"/>
      <c r="O22" s="1352">
        <f>+'Exhibit I State'!O21</f>
        <v>10.599999999999994</v>
      </c>
      <c r="P22" s="299"/>
      <c r="Q22" s="1352">
        <f>+'Exhibit I State'!Q21</f>
        <v>12.400000000000006</v>
      </c>
      <c r="R22" s="299"/>
      <c r="S22" s="1352">
        <f>+'Exhibit I State'!S21</f>
        <v>12.900000000000006</v>
      </c>
      <c r="T22" s="299"/>
      <c r="U22" s="1352">
        <f>+'Exhibit I State'!U21</f>
        <v>12.600000000000001</v>
      </c>
      <c r="V22" s="299"/>
      <c r="W22" s="1352">
        <f>+'Exhibit I State'!W21</f>
        <v>11.100000000000001</v>
      </c>
      <c r="X22" s="299"/>
      <c r="Y22" s="1352"/>
      <c r="Z22" s="299"/>
      <c r="AA22" s="1352"/>
      <c r="AB22" s="1352"/>
      <c r="AC22" s="1352">
        <v>0</v>
      </c>
      <c r="AD22" s="1040"/>
      <c r="AE22" s="299"/>
      <c r="AF22" s="115">
        <f>ROUND(SUM(E22:AC22),1)</f>
        <v>121.6</v>
      </c>
      <c r="AG22" s="1041"/>
      <c r="AH22" s="300"/>
      <c r="AI22" s="3398">
        <f>+'Exhibit I State'!AG21</f>
        <v>114.3</v>
      </c>
      <c r="AJ22" s="301"/>
      <c r="AK22" s="305"/>
      <c r="AL22" s="308">
        <f>ROUND(SUM(AF22-AI22),1)</f>
        <v>7.3</v>
      </c>
      <c r="AM22" s="302"/>
      <c r="AN22" s="1449">
        <f>ROUND(IF(AI22=0,0,AL22/ABS(AI22)),3)</f>
        <v>6.4000000000000001E-2</v>
      </c>
      <c r="AO22" s="542"/>
    </row>
    <row r="23" spans="1:46" ht="15.6">
      <c r="A23" s="28"/>
      <c r="B23" s="307" t="s">
        <v>1091</v>
      </c>
      <c r="C23" s="28"/>
      <c r="D23" s="28"/>
      <c r="E23" s="1444">
        <f>ROUND(SUM(E20:E22),1)</f>
        <v>43.5</v>
      </c>
      <c r="F23" s="1445"/>
      <c r="G23" s="1444">
        <f>ROUND(SUM(G20:G22),1)</f>
        <v>42.2</v>
      </c>
      <c r="H23" s="1445"/>
      <c r="I23" s="1444">
        <f>ROUND(SUM(I20:I22),1)</f>
        <v>65.8</v>
      </c>
      <c r="J23" s="1445"/>
      <c r="K23" s="1444">
        <f>ROUND(SUM(K20:K22),1)</f>
        <v>47.2</v>
      </c>
      <c r="L23" s="1443"/>
      <c r="M23" s="1444">
        <f>ROUND(SUM(M20:M22),1)</f>
        <v>49.6</v>
      </c>
      <c r="N23" s="1443"/>
      <c r="O23" s="1444">
        <f>ROUND(SUM(O20:O22),1)</f>
        <v>74.5</v>
      </c>
      <c r="P23" s="299"/>
      <c r="Q23" s="1444">
        <f>ROUND(SUM(Q20:Q22),1)</f>
        <v>47.1</v>
      </c>
      <c r="R23" s="299"/>
      <c r="S23" s="1444">
        <f>ROUND(SUM(S20:S22),1)</f>
        <v>36.4</v>
      </c>
      <c r="T23" s="299"/>
      <c r="U23" s="1444">
        <f>ROUND(SUM(U20:U22),1)</f>
        <v>72.400000000000006</v>
      </c>
      <c r="V23" s="299"/>
      <c r="W23" s="1444">
        <f>ROUND(SUM(W20:W22),1)</f>
        <v>35</v>
      </c>
      <c r="X23" s="299"/>
      <c r="Y23" s="1444">
        <f>ROUND(SUM(Y20:Y22),1)</f>
        <v>0</v>
      </c>
      <c r="Z23" s="299"/>
      <c r="AA23" s="1444">
        <f>ROUND(SUM(AA20:AA22),1)</f>
        <v>0</v>
      </c>
      <c r="AB23" s="1446"/>
      <c r="AC23" s="1444">
        <f>ROUND(SUM(AC20:AC22),1)</f>
        <v>0</v>
      </c>
      <c r="AD23" s="1040"/>
      <c r="AE23" s="299"/>
      <c r="AF23" s="1519">
        <f>ROUND(SUM(AF20:AF22),1)</f>
        <v>513.70000000000005</v>
      </c>
      <c r="AG23" s="1041"/>
      <c r="AH23" s="300"/>
      <c r="AI23" s="1519">
        <f>ROUND(SUM(AI20:AI22),1)</f>
        <v>438.4</v>
      </c>
      <c r="AJ23" s="301"/>
      <c r="AK23" s="305"/>
      <c r="AL23" s="1107">
        <f>ROUND(SUM(AF23-AI23),1)</f>
        <v>75.3</v>
      </c>
      <c r="AM23" s="304"/>
      <c r="AN23" s="13">
        <f>ROUND(IF(AI23=0,0,AL23/ABS(AI23)),3)</f>
        <v>0.17199999999999999</v>
      </c>
      <c r="AO23" s="542"/>
    </row>
    <row r="24" spans="1:46" ht="15.6">
      <c r="A24" s="28"/>
      <c r="B24" s="1039" t="s">
        <v>1051</v>
      </c>
      <c r="C24" s="28"/>
      <c r="D24" s="28"/>
      <c r="E24" s="1446"/>
      <c r="F24" s="1445"/>
      <c r="G24" s="1446"/>
      <c r="H24" s="1445"/>
      <c r="I24" s="1446"/>
      <c r="J24" s="1445"/>
      <c r="K24" s="1446"/>
      <c r="L24" s="1443"/>
      <c r="M24" s="1446"/>
      <c r="N24" s="1443"/>
      <c r="O24" s="1446"/>
      <c r="P24" s="299"/>
      <c r="Q24" s="1446"/>
      <c r="R24" s="299"/>
      <c r="S24" s="1446"/>
      <c r="T24" s="299"/>
      <c r="U24" s="1446"/>
      <c r="V24" s="299"/>
      <c r="W24" s="1446"/>
      <c r="X24" s="299"/>
      <c r="Y24" s="1446"/>
      <c r="Z24" s="299"/>
      <c r="AA24" s="1446"/>
      <c r="AB24" s="1446"/>
      <c r="AC24" s="1446"/>
      <c r="AD24" s="1040"/>
      <c r="AE24" s="299"/>
      <c r="AF24" s="112"/>
      <c r="AG24" s="1041"/>
      <c r="AH24" s="300"/>
      <c r="AI24" s="112"/>
      <c r="AJ24" s="301"/>
      <c r="AK24" s="305"/>
      <c r="AL24" s="1043"/>
      <c r="AM24" s="304"/>
      <c r="AN24" s="21"/>
      <c r="AO24" s="542"/>
    </row>
    <row r="25" spans="1:46" ht="15.6">
      <c r="A25" s="28"/>
      <c r="B25" s="661" t="s">
        <v>1013</v>
      </c>
      <c r="C25" s="28"/>
      <c r="D25" s="28"/>
      <c r="E25" s="1352">
        <f>+'Exhibit I State'!E24</f>
        <v>0</v>
      </c>
      <c r="F25" s="1445"/>
      <c r="G25" s="1352">
        <f>+'Exhibit I State'!G24</f>
        <v>0</v>
      </c>
      <c r="H25" s="1445"/>
      <c r="I25" s="1352">
        <f>+'Exhibit I State'!I24</f>
        <v>0</v>
      </c>
      <c r="J25" s="1445"/>
      <c r="K25" s="1352">
        <f>+'Exhibit I State'!K24</f>
        <v>0</v>
      </c>
      <c r="L25" s="1443"/>
      <c r="M25" s="1352">
        <f>+'Exhibit I State'!M24</f>
        <v>0</v>
      </c>
      <c r="N25" s="1443"/>
      <c r="O25" s="1352">
        <f>+'Exhibit I State'!O24</f>
        <v>0</v>
      </c>
      <c r="P25" s="299"/>
      <c r="Q25" s="1352">
        <f>+'Exhibit I State'!Q24</f>
        <v>0</v>
      </c>
      <c r="R25" s="299"/>
      <c r="S25" s="1352">
        <f>+'Exhibit I State'!S24</f>
        <v>0</v>
      </c>
      <c r="T25" s="299"/>
      <c r="U25" s="1352">
        <f>+'Exhibit I State'!U24</f>
        <v>0</v>
      </c>
      <c r="V25" s="299"/>
      <c r="W25" s="1352">
        <f>+'Exhibit I State'!W24</f>
        <v>0</v>
      </c>
      <c r="X25" s="299"/>
      <c r="Y25" s="1352"/>
      <c r="Z25" s="299"/>
      <c r="AA25" s="1352"/>
      <c r="AB25" s="1352"/>
      <c r="AC25" s="1352">
        <v>0</v>
      </c>
      <c r="AD25" s="1040"/>
      <c r="AE25" s="299"/>
      <c r="AF25" s="1012">
        <v>0</v>
      </c>
      <c r="AG25" s="1041"/>
      <c r="AH25" s="300"/>
      <c r="AI25" s="3398">
        <f>+'Exhibit I State'!AG24</f>
        <v>0</v>
      </c>
      <c r="AJ25" s="301"/>
      <c r="AK25" s="305"/>
      <c r="AL25" s="308">
        <f>ROUND(SUM(AF25-AI25),1)</f>
        <v>0</v>
      </c>
      <c r="AM25" s="302"/>
      <c r="AN25" s="1442">
        <f>ROUND(IF(AI25=0,0,AL25/ABS(AI25)),3)</f>
        <v>0</v>
      </c>
      <c r="AO25" s="542"/>
      <c r="AP25" s="297"/>
      <c r="AQ25" s="297"/>
      <c r="AR25" s="297"/>
      <c r="AS25" s="297"/>
      <c r="AT25" s="297"/>
    </row>
    <row r="26" spans="1:46" ht="15.6">
      <c r="A26" s="28"/>
      <c r="B26" s="661" t="s">
        <v>1014</v>
      </c>
      <c r="C26" s="28"/>
      <c r="D26" s="28"/>
      <c r="E26" s="1352">
        <f>+'Exhibit I State'!E25</f>
        <v>3.1</v>
      </c>
      <c r="F26" s="1407"/>
      <c r="G26" s="1352">
        <f>+'Exhibit I State'!G25</f>
        <v>0</v>
      </c>
      <c r="H26" s="1407"/>
      <c r="I26" s="1352">
        <f>+'Exhibit I State'!I25</f>
        <v>1.4</v>
      </c>
      <c r="J26" s="1445"/>
      <c r="K26" s="1352">
        <f>+'Exhibit I State'!K25</f>
        <v>-1.5</v>
      </c>
      <c r="L26" s="1443"/>
      <c r="M26" s="1352">
        <f>+'Exhibit I State'!M25</f>
        <v>-0.10000000000000009</v>
      </c>
      <c r="N26" s="1443"/>
      <c r="O26" s="1352">
        <f>+'Exhibit I State'!O25</f>
        <v>1.1999999999999997</v>
      </c>
      <c r="P26" s="299"/>
      <c r="Q26" s="1352">
        <f>+'Exhibit I State'!Q25</f>
        <v>0.20000000000000018</v>
      </c>
      <c r="R26" s="299"/>
      <c r="S26" s="1352">
        <f>+'Exhibit I State'!S25</f>
        <v>0</v>
      </c>
      <c r="T26" s="299"/>
      <c r="U26" s="1352">
        <f>+'Exhibit I State'!U25</f>
        <v>1.6000000000000005</v>
      </c>
      <c r="V26" s="299"/>
      <c r="W26" s="1352">
        <f>+'Exhibit I State'!W25</f>
        <v>-0.10000000000000053</v>
      </c>
      <c r="X26" s="299"/>
      <c r="Y26" s="1352"/>
      <c r="Z26" s="299"/>
      <c r="AA26" s="1352"/>
      <c r="AB26" s="1352"/>
      <c r="AC26" s="1352">
        <v>0</v>
      </c>
      <c r="AD26" s="1040"/>
      <c r="AE26" s="299"/>
      <c r="AF26" s="115">
        <f>ROUND(SUM(E26:AC26),1)</f>
        <v>5.8</v>
      </c>
      <c r="AG26" s="1041"/>
      <c r="AH26" s="300"/>
      <c r="AI26" s="3398">
        <f>+'Exhibit I State'!AG25</f>
        <v>8.3000000000000007</v>
      </c>
      <c r="AJ26" s="301"/>
      <c r="AK26" s="305"/>
      <c r="AL26" s="308">
        <f>ROUND(SUM(AF26-AI26),1)</f>
        <v>-2.5</v>
      </c>
      <c r="AM26" s="302"/>
      <c r="AN26" s="1463">
        <f>ROUND(IF(AI26=0,1,AL26/ABS(AI26)),3)</f>
        <v>-0.30099999999999999</v>
      </c>
      <c r="AO26" s="542"/>
      <c r="AP26" s="297"/>
      <c r="AQ26" s="297"/>
      <c r="AR26" s="297"/>
      <c r="AS26" s="297"/>
      <c r="AT26" s="297"/>
    </row>
    <row r="27" spans="1:46" ht="15.6">
      <c r="A27" s="28"/>
      <c r="B27" s="661" t="s">
        <v>1017</v>
      </c>
      <c r="C27" s="28"/>
      <c r="D27" s="28"/>
      <c r="E27" s="1352">
        <f>+'Exhibit I State'!E26</f>
        <v>38.200000000000003</v>
      </c>
      <c r="F27" s="1407"/>
      <c r="G27" s="1352">
        <f>+'Exhibit I State'!G26</f>
        <v>50.399999999999991</v>
      </c>
      <c r="H27" s="1407"/>
      <c r="I27" s="1352">
        <f>+'Exhibit I State'!I26</f>
        <v>52</v>
      </c>
      <c r="J27" s="1445"/>
      <c r="K27" s="1352">
        <f>+'Exhibit I State'!K26</f>
        <v>55.3</v>
      </c>
      <c r="L27" s="1443"/>
      <c r="M27" s="1352">
        <f>+'Exhibit I State'!M26</f>
        <v>53.600000000000037</v>
      </c>
      <c r="N27" s="1443"/>
      <c r="O27" s="1352">
        <f>+'Exhibit I State'!O26</f>
        <v>43.699999999999989</v>
      </c>
      <c r="P27" s="299"/>
      <c r="Q27" s="1352">
        <f>+'Exhibit I State'!Q26</f>
        <v>51.8</v>
      </c>
      <c r="R27" s="299"/>
      <c r="S27" s="1352">
        <f>+'Exhibit I State'!S26</f>
        <v>51.500000000000014</v>
      </c>
      <c r="T27" s="299"/>
      <c r="U27" s="1352">
        <f>+'Exhibit I State'!U26</f>
        <v>43.899999999999977</v>
      </c>
      <c r="V27" s="299"/>
      <c r="W27" s="1352">
        <f>+'Exhibit I State'!W26</f>
        <v>48.499999999999986</v>
      </c>
      <c r="X27" s="299"/>
      <c r="Y27" s="1352"/>
      <c r="Z27" s="299"/>
      <c r="AA27" s="1352"/>
      <c r="AB27" s="1352"/>
      <c r="AC27" s="1352">
        <v>0</v>
      </c>
      <c r="AD27" s="1040"/>
      <c r="AE27" s="299"/>
      <c r="AF27" s="115">
        <f>ROUND(SUM(E27:AC27),1)</f>
        <v>488.9</v>
      </c>
      <c r="AG27" s="1041"/>
      <c r="AH27" s="300"/>
      <c r="AI27" s="3398">
        <f>+'Exhibit I State'!AG26</f>
        <v>444.5</v>
      </c>
      <c r="AJ27" s="301"/>
      <c r="AK27" s="305"/>
      <c r="AL27" s="308">
        <f>ROUND(SUM(AF27-AI27),1)</f>
        <v>44.4</v>
      </c>
      <c r="AM27" s="302"/>
      <c r="AN27" s="1410">
        <f>ROUND(IF(AI27=0,0,AL27/ABS(AI27)),3)</f>
        <v>0.1</v>
      </c>
      <c r="AO27" s="542"/>
      <c r="AP27" s="297"/>
      <c r="AQ27" s="297"/>
      <c r="AR27" s="297"/>
      <c r="AS27" s="297"/>
      <c r="AT27" s="297"/>
    </row>
    <row r="28" spans="1:46" ht="15.6">
      <c r="A28" s="28"/>
      <c r="B28" s="307" t="s">
        <v>1092</v>
      </c>
      <c r="C28" s="28"/>
      <c r="D28" s="28"/>
      <c r="E28" s="1444">
        <f>ROUND(SUM(E25:E27),1)</f>
        <v>41.3</v>
      </c>
      <c r="F28" s="1407"/>
      <c r="G28" s="1444">
        <f>ROUND(SUM(G25:G27),1)</f>
        <v>50.4</v>
      </c>
      <c r="H28" s="1407"/>
      <c r="I28" s="1444">
        <f>ROUND(SUM(I25:I27),1)</f>
        <v>53.4</v>
      </c>
      <c r="J28" s="1445"/>
      <c r="K28" s="1444">
        <f>ROUND(SUM(K25:K27),1)</f>
        <v>53.8</v>
      </c>
      <c r="L28" s="1443"/>
      <c r="M28" s="1444">
        <f>ROUND(SUM(M25:M27),1)</f>
        <v>53.5</v>
      </c>
      <c r="N28" s="1443"/>
      <c r="O28" s="1444">
        <f>ROUND(SUM(O25:O27),1)</f>
        <v>44.9</v>
      </c>
      <c r="P28" s="299"/>
      <c r="Q28" s="1444">
        <f>ROUND(SUM(Q25:Q27),1)</f>
        <v>52</v>
      </c>
      <c r="R28" s="299"/>
      <c r="S28" s="1444">
        <f>ROUND(SUM(S25:S27),1)</f>
        <v>51.5</v>
      </c>
      <c r="T28" s="299"/>
      <c r="U28" s="1444">
        <f>ROUND(SUM(U25:U27),1)</f>
        <v>45.5</v>
      </c>
      <c r="V28" s="299"/>
      <c r="W28" s="1444">
        <f>ROUND(SUM(W25:W27),1)</f>
        <v>48.4</v>
      </c>
      <c r="X28" s="299"/>
      <c r="Y28" s="1444">
        <f>ROUND(SUM(Y25:Y27),1)</f>
        <v>0</v>
      </c>
      <c r="Z28" s="299"/>
      <c r="AA28" s="1444">
        <f>ROUND(SUM(AA25:AA27),1)</f>
        <v>0</v>
      </c>
      <c r="AB28" s="1446"/>
      <c r="AC28" s="1444">
        <f>ROUND(SUM(AC25:AC27),1)</f>
        <v>0</v>
      </c>
      <c r="AD28" s="1040"/>
      <c r="AE28" s="299"/>
      <c r="AF28" s="1519">
        <f>ROUND(SUM(AF25:AF27),1)</f>
        <v>494.7</v>
      </c>
      <c r="AG28" s="1041"/>
      <c r="AH28" s="300"/>
      <c r="AI28" s="1519">
        <f>ROUND(SUM(AI25:AI27),1)</f>
        <v>452.8</v>
      </c>
      <c r="AJ28" s="301"/>
      <c r="AK28" s="305"/>
      <c r="AL28" s="667">
        <f>ROUND(SUM(AL25:AL27),1)</f>
        <v>41.9</v>
      </c>
      <c r="AM28" s="302"/>
      <c r="AN28" s="1439">
        <f>ROUND(IF(AI28=0,0,AL28/ABS(AI28)),3)</f>
        <v>9.2999999999999999E-2</v>
      </c>
      <c r="AO28" s="542"/>
      <c r="AP28" s="297"/>
      <c r="AQ28" s="297"/>
      <c r="AR28" s="297"/>
      <c r="AS28" s="297"/>
      <c r="AT28" s="297"/>
    </row>
    <row r="29" spans="1:46" ht="15.6">
      <c r="A29" s="28"/>
      <c r="B29" s="1039" t="s">
        <v>1052</v>
      </c>
      <c r="C29" s="28"/>
      <c r="D29" s="28"/>
      <c r="E29" s="1821"/>
      <c r="F29" s="1821"/>
      <c r="G29" s="1821"/>
      <c r="H29" s="1821"/>
      <c r="I29" s="1821"/>
      <c r="J29" s="1821"/>
      <c r="K29" s="1821"/>
      <c r="L29" s="1447"/>
      <c r="M29" s="1821"/>
      <c r="N29" s="1447"/>
      <c r="O29" s="1821"/>
      <c r="P29" s="162"/>
      <c r="Q29" s="1821"/>
      <c r="R29" s="162"/>
      <c r="S29" s="1447"/>
      <c r="T29" s="162"/>
      <c r="U29" s="1447"/>
      <c r="V29" s="162"/>
      <c r="W29" s="1447"/>
      <c r="X29" s="162"/>
      <c r="Y29" s="1447"/>
      <c r="Z29" s="162"/>
      <c r="AA29" s="1447"/>
      <c r="AB29" s="1447"/>
      <c r="AC29" s="1447"/>
      <c r="AD29" s="162"/>
      <c r="AE29" s="249"/>
      <c r="AF29" s="137"/>
      <c r="AG29" s="1052"/>
      <c r="AH29" s="56"/>
      <c r="AI29" s="137"/>
      <c r="AJ29" s="162"/>
      <c r="AK29" s="321"/>
      <c r="AL29" s="322"/>
      <c r="AM29" s="322"/>
      <c r="AN29" s="1448"/>
    </row>
    <row r="30" spans="1:46" ht="15.6">
      <c r="A30" s="28"/>
      <c r="B30" s="661" t="s">
        <v>1023</v>
      </c>
      <c r="C30" s="28"/>
      <c r="D30" s="28"/>
      <c r="E30" s="1352">
        <f>+'Exhibit I State'!E29</f>
        <v>0</v>
      </c>
      <c r="F30" s="1407"/>
      <c r="G30" s="1352">
        <f>+'Exhibit I State'!G29</f>
        <v>0</v>
      </c>
      <c r="H30" s="1407"/>
      <c r="I30" s="1352">
        <f>+'Exhibit I State'!I29</f>
        <v>11.9</v>
      </c>
      <c r="J30" s="1445"/>
      <c r="K30" s="1352">
        <f>+'Exhibit I State'!K29</f>
        <v>11.9</v>
      </c>
      <c r="L30" s="1443"/>
      <c r="M30" s="1352">
        <f>+'Exhibit I State'!M29</f>
        <v>11.900000000000004</v>
      </c>
      <c r="N30" s="1443"/>
      <c r="O30" s="1352">
        <f>+'Exhibit I State'!O29</f>
        <v>12.000000000000002</v>
      </c>
      <c r="P30" s="299"/>
      <c r="Q30" s="1352">
        <f>+'Exhibit I State'!Q29</f>
        <v>11.899999999999997</v>
      </c>
      <c r="R30" s="299"/>
      <c r="S30" s="1352">
        <f>+'Exhibit I State'!S29</f>
        <v>11.9</v>
      </c>
      <c r="T30" s="299"/>
      <c r="U30" s="1352">
        <f>+'Exhibit I State'!U29</f>
        <v>11.899999999999997</v>
      </c>
      <c r="V30" s="299"/>
      <c r="W30" s="1352">
        <f>+'Exhibit I State'!W29</f>
        <v>11.899999999999983</v>
      </c>
      <c r="X30" s="299"/>
      <c r="Y30" s="1352"/>
      <c r="Z30" s="299"/>
      <c r="AA30" s="1352"/>
      <c r="AB30" s="1352"/>
      <c r="AC30" s="1352">
        <v>0</v>
      </c>
      <c r="AD30" s="1040"/>
      <c r="AE30" s="299"/>
      <c r="AF30" s="115">
        <f>ROUND(SUM(E30:AC30),1)</f>
        <v>95.3</v>
      </c>
      <c r="AG30" s="1041"/>
      <c r="AH30" s="300"/>
      <c r="AI30" s="3398">
        <f>+'Exhibit I State'!AG29</f>
        <v>95.3</v>
      </c>
      <c r="AJ30" s="301"/>
      <c r="AK30" s="305"/>
      <c r="AL30" s="308">
        <f>ROUND(SUM(AF30-AI30),1)</f>
        <v>0</v>
      </c>
      <c r="AM30" s="302"/>
      <c r="AN30" s="1410">
        <f>ROUND(IF(AI30=0,0,AL30/ABS(AI30)),3)</f>
        <v>0</v>
      </c>
      <c r="AO30" s="542"/>
      <c r="AP30" s="297"/>
      <c r="AQ30" s="297"/>
      <c r="AR30" s="297"/>
    </row>
    <row r="31" spans="1:46" ht="15.6">
      <c r="A31" s="28"/>
      <c r="B31" s="307" t="s">
        <v>1093</v>
      </c>
      <c r="C31" s="28"/>
      <c r="D31" s="28"/>
      <c r="E31" s="255">
        <f>ROUND(SUM(E30:E30),1)</f>
        <v>0</v>
      </c>
      <c r="F31" s="910"/>
      <c r="G31" s="255">
        <f>ROUND(SUM(G30:G30),1)</f>
        <v>0</v>
      </c>
      <c r="H31" s="910"/>
      <c r="I31" s="255">
        <f>ROUND(SUM(I30:I30),1)</f>
        <v>11.9</v>
      </c>
      <c r="J31" s="910"/>
      <c r="K31" s="255">
        <f>ROUND(SUM(K30:K30),1)</f>
        <v>11.9</v>
      </c>
      <c r="L31" s="299"/>
      <c r="M31" s="255">
        <f>ROUND(SUM(M30:M30),1)</f>
        <v>11.9</v>
      </c>
      <c r="N31" s="299"/>
      <c r="O31" s="255">
        <f>ROUND(SUM(O30:O30),1)</f>
        <v>12</v>
      </c>
      <c r="P31" s="299"/>
      <c r="Q31" s="255">
        <f>ROUND(SUM(Q30:Q30),1)</f>
        <v>11.9</v>
      </c>
      <c r="R31" s="299"/>
      <c r="S31" s="58">
        <f>ROUND(SUM(S30:S30),1)</f>
        <v>11.9</v>
      </c>
      <c r="T31" s="299"/>
      <c r="U31" s="58">
        <f>ROUND(SUM(U30:U30),1)</f>
        <v>11.9</v>
      </c>
      <c r="V31" s="299"/>
      <c r="W31" s="58">
        <f>ROUND(SUM(W30:W30),1)</f>
        <v>11.9</v>
      </c>
      <c r="X31" s="299"/>
      <c r="Y31" s="58">
        <f>ROUND(SUM(Y30:Y30),1)</f>
        <v>0</v>
      </c>
      <c r="Z31" s="299"/>
      <c r="AA31" s="58">
        <f>ROUND(SUM(AA30:AA30),1)</f>
        <v>0</v>
      </c>
      <c r="AB31" s="1512"/>
      <c r="AC31" s="58">
        <f>ROUND(SUM(AC30:AC30),1)</f>
        <v>0</v>
      </c>
      <c r="AD31" s="1040"/>
      <c r="AE31" s="299"/>
      <c r="AF31" s="3362">
        <f>ROUND(SUM(AF30:AF30),1)</f>
        <v>95.3</v>
      </c>
      <c r="AG31" s="1041"/>
      <c r="AH31" s="300"/>
      <c r="AI31" s="3362">
        <f>ROUND(SUM(AI30:AI30),1)</f>
        <v>95.3</v>
      </c>
      <c r="AJ31" s="301"/>
      <c r="AK31" s="305"/>
      <c r="AL31" s="1107">
        <f>ROUND(SUM(AF31-AI31),1)</f>
        <v>0</v>
      </c>
      <c r="AM31" s="304"/>
      <c r="AN31" s="1426">
        <f>ROUND(IF(AI31=0,0,AL31/ABS(AI31)),3)</f>
        <v>0</v>
      </c>
      <c r="AO31" s="542"/>
      <c r="AP31" s="297"/>
      <c r="AQ31" s="297"/>
      <c r="AR31" s="297"/>
    </row>
    <row r="32" spans="1:46" ht="15.6">
      <c r="A32" s="28"/>
      <c r="B32" s="307"/>
      <c r="C32" s="28"/>
      <c r="D32" s="28"/>
      <c r="E32" s="255"/>
      <c r="F32" s="910"/>
      <c r="G32" s="255"/>
      <c r="H32" s="910"/>
      <c r="I32" s="255"/>
      <c r="J32" s="910"/>
      <c r="K32" s="255"/>
      <c r="L32" s="299"/>
      <c r="M32" s="255"/>
      <c r="N32" s="299"/>
      <c r="O32" s="255"/>
      <c r="P32" s="299"/>
      <c r="Q32" s="255"/>
      <c r="R32" s="299"/>
      <c r="S32" s="255"/>
      <c r="T32" s="299"/>
      <c r="U32" s="255"/>
      <c r="V32" s="299"/>
      <c r="W32" s="255"/>
      <c r="X32" s="299"/>
      <c r="Y32" s="255"/>
      <c r="Z32" s="299"/>
      <c r="AA32" s="255"/>
      <c r="AB32" s="1512"/>
      <c r="AC32" s="255"/>
      <c r="AD32" s="1040"/>
      <c r="AE32" s="299"/>
      <c r="AF32" s="1519"/>
      <c r="AG32" s="1041"/>
      <c r="AH32" s="300"/>
      <c r="AI32" s="300"/>
      <c r="AJ32" s="301"/>
      <c r="AK32" s="305"/>
      <c r="AL32" s="306"/>
      <c r="AM32" s="302"/>
      <c r="AN32" s="1438"/>
      <c r="AO32" s="542"/>
      <c r="AP32" s="297"/>
      <c r="AQ32" s="297"/>
      <c r="AR32" s="297"/>
    </row>
    <row r="33" spans="1:44" ht="15.6">
      <c r="A33" s="28"/>
      <c r="B33" s="307" t="s">
        <v>1019</v>
      </c>
      <c r="C33" s="28"/>
      <c r="D33" s="28"/>
      <c r="E33" s="1822">
        <f>ROUND(SUM(E11+E28+E23+E31),1)</f>
        <v>84.8</v>
      </c>
      <c r="F33" s="1511"/>
      <c r="G33" s="1822">
        <f>ROUND(SUM(G11+G28+G23+G31),1)</f>
        <v>92.6</v>
      </c>
      <c r="H33" s="1511"/>
      <c r="I33" s="1822">
        <f>ROUND(SUM(I11+I28+I23+I31),1)</f>
        <v>131.1</v>
      </c>
      <c r="J33" s="1511"/>
      <c r="K33" s="1822">
        <f>ROUND(SUM(K11+K28+K23+K31),1)</f>
        <v>112.9</v>
      </c>
      <c r="L33" s="299"/>
      <c r="M33" s="1822">
        <f>ROUND(SUM(M11+M28+M23+M31),1)</f>
        <v>115</v>
      </c>
      <c r="N33" s="299"/>
      <c r="O33" s="1822">
        <f>ROUND(SUM(O11+O28+O23+O31),1)</f>
        <v>131.4</v>
      </c>
      <c r="P33" s="299"/>
      <c r="Q33" s="1822">
        <f>ROUND(SUM(Q11+Q28+Q23+Q31),1)</f>
        <v>111</v>
      </c>
      <c r="R33" s="299"/>
      <c r="S33" s="1042">
        <f>ROUND(SUM(S11+S28+S23+S31),1)</f>
        <v>99.8</v>
      </c>
      <c r="T33" s="299"/>
      <c r="U33" s="1042">
        <f>ROUND(SUM(U11+U28+U23+U31),1)</f>
        <v>129.80000000000001</v>
      </c>
      <c r="V33" s="299"/>
      <c r="W33" s="1042">
        <f>ROUND(SUM(W11+W28+W23+W31),1)</f>
        <v>95.3</v>
      </c>
      <c r="X33" s="299"/>
      <c r="Y33" s="1042">
        <f>ROUND(SUM(Y11+Y28+Y23+Y31),1)</f>
        <v>0</v>
      </c>
      <c r="Z33" s="299"/>
      <c r="AA33" s="1042">
        <f>ROUND(SUM(AA11+AA28+AA23+AA31),1)</f>
        <v>0</v>
      </c>
      <c r="AB33" s="1044"/>
      <c r="AC33" s="1042">
        <f>ROUND(SUM(AC15+AC28+AC23+AC31),1)</f>
        <v>0</v>
      </c>
      <c r="AD33" s="1040"/>
      <c r="AE33" s="299"/>
      <c r="AF33" s="1042">
        <f>ROUND(SUM(AF28+AF23+AF31),1)</f>
        <v>1103.7</v>
      </c>
      <c r="AG33" s="1041"/>
      <c r="AH33" s="300"/>
      <c r="AI33" s="1042">
        <f>ROUND(SUM(AI28+AI23+AI31),1)</f>
        <v>986.5</v>
      </c>
      <c r="AJ33" s="301"/>
      <c r="AK33" s="305"/>
      <c r="AL33" s="1107">
        <f>ROUND(SUM(AF33-AI33),1)</f>
        <v>117.2</v>
      </c>
      <c r="AM33" s="304"/>
      <c r="AN33" s="1426">
        <f>ROUND(IF(AI33=0,0,AL33/ABS(AI33)),3)</f>
        <v>0.11899999999999999</v>
      </c>
      <c r="AO33" s="542"/>
      <c r="AP33" s="297"/>
      <c r="AQ33" s="297"/>
      <c r="AR33" s="297"/>
    </row>
    <row r="34" spans="1:44" ht="15.6">
      <c r="A34" s="28"/>
      <c r="B34" s="307"/>
      <c r="C34" s="28"/>
      <c r="D34" s="28"/>
      <c r="E34" s="1823"/>
      <c r="F34" s="1511"/>
      <c r="G34" s="1823"/>
      <c r="H34" s="1511"/>
      <c r="I34" s="1823"/>
      <c r="J34" s="1511"/>
      <c r="K34" s="1823"/>
      <c r="L34" s="299"/>
      <c r="M34" s="1823"/>
      <c r="N34" s="299"/>
      <c r="O34" s="1823"/>
      <c r="P34" s="299"/>
      <c r="Q34" s="1823"/>
      <c r="R34" s="299"/>
      <c r="S34" s="1044"/>
      <c r="T34" s="299"/>
      <c r="U34" s="1044"/>
      <c r="V34" s="299"/>
      <c r="W34" s="1044"/>
      <c r="X34" s="299"/>
      <c r="Y34" s="1044"/>
      <c r="Z34" s="299"/>
      <c r="AA34" s="1044"/>
      <c r="AB34" s="1044"/>
      <c r="AC34" s="1044"/>
      <c r="AD34" s="1365"/>
      <c r="AE34" s="299"/>
      <c r="AF34" s="1044"/>
      <c r="AG34" s="1041"/>
      <c r="AH34" s="300"/>
      <c r="AI34" s="1044"/>
      <c r="AJ34" s="301"/>
      <c r="AK34" s="305"/>
      <c r="AL34" s="1043"/>
      <c r="AM34" s="304"/>
      <c r="AN34" s="1415"/>
      <c r="AO34" s="542"/>
      <c r="AP34" s="297"/>
      <c r="AQ34" s="297"/>
      <c r="AR34" s="297"/>
    </row>
    <row r="35" spans="1:44" ht="15.6">
      <c r="A35" s="28"/>
      <c r="B35" s="258" t="s">
        <v>929</v>
      </c>
      <c r="C35" s="28"/>
      <c r="D35" s="28"/>
      <c r="E35" s="650"/>
      <c r="F35" s="1511"/>
      <c r="G35" s="650"/>
      <c r="H35" s="1511"/>
      <c r="I35" s="650"/>
      <c r="J35" s="1511"/>
      <c r="K35" s="650"/>
      <c r="L35" s="63"/>
      <c r="M35" s="650"/>
      <c r="N35" s="63"/>
      <c r="O35" s="650"/>
      <c r="P35" s="63"/>
      <c r="Q35" s="650"/>
      <c r="R35" s="63"/>
      <c r="S35" s="167"/>
      <c r="T35" s="63"/>
      <c r="U35" s="167"/>
      <c r="V35" s="63"/>
      <c r="W35" s="167"/>
      <c r="X35" s="63"/>
      <c r="Y35" s="167"/>
      <c r="Z35" s="63"/>
      <c r="AA35" s="167"/>
      <c r="AB35" s="167"/>
      <c r="AC35" s="167"/>
      <c r="AD35" s="63"/>
      <c r="AE35" s="54"/>
      <c r="AF35" s="1068"/>
      <c r="AG35" s="965"/>
      <c r="AH35" s="57"/>
      <c r="AI35" s="3399"/>
      <c r="AJ35" s="74"/>
      <c r="AK35" s="330"/>
      <c r="AL35" s="55"/>
      <c r="AM35" s="328"/>
      <c r="AN35" s="1410"/>
      <c r="AO35" s="322"/>
    </row>
    <row r="36" spans="1:44" ht="15.6">
      <c r="A36" s="28"/>
      <c r="B36" s="880" t="s">
        <v>1044</v>
      </c>
      <c r="C36" s="28"/>
      <c r="D36" s="28"/>
      <c r="E36" s="650"/>
      <c r="F36" s="1511"/>
      <c r="G36" s="650"/>
      <c r="H36" s="1511"/>
      <c r="I36" s="650"/>
      <c r="J36" s="1511"/>
      <c r="K36" s="650"/>
      <c r="L36" s="63"/>
      <c r="M36" s="650"/>
      <c r="N36" s="63"/>
      <c r="O36" s="650"/>
      <c r="P36" s="63"/>
      <c r="Q36" s="650"/>
      <c r="R36" s="63"/>
      <c r="S36" s="167"/>
      <c r="T36" s="63"/>
      <c r="U36" s="167"/>
      <c r="V36" s="63"/>
      <c r="W36" s="167"/>
      <c r="X36" s="63"/>
      <c r="Y36" s="167"/>
      <c r="Z36" s="63"/>
      <c r="AA36" s="167"/>
      <c r="AB36" s="167"/>
      <c r="AC36" s="167"/>
      <c r="AD36" s="63"/>
      <c r="AE36" s="54"/>
      <c r="AF36" s="1068"/>
      <c r="AG36" s="965"/>
      <c r="AH36" s="57"/>
      <c r="AI36" s="3399"/>
      <c r="AJ36" s="74"/>
      <c r="AK36" s="330"/>
      <c r="AL36" s="55"/>
      <c r="AM36" s="328"/>
      <c r="AN36" s="1410"/>
      <c r="AO36" s="322"/>
    </row>
    <row r="37" spans="1:44" ht="15.6">
      <c r="A37" s="28"/>
      <c r="B37" s="880" t="s">
        <v>962</v>
      </c>
      <c r="C37" s="28"/>
      <c r="D37" s="28"/>
      <c r="E37" s="650">
        <f>+'Exhibit I State'!E36+'Exhibit I Federal'!E19</f>
        <v>0</v>
      </c>
      <c r="F37" s="1511"/>
      <c r="G37" s="650">
        <f>+'Exhibit I State'!G36+'Exhibit I Federal'!G19</f>
        <v>0</v>
      </c>
      <c r="H37" s="1511"/>
      <c r="I37" s="650">
        <f>+'Exhibit I State'!I36+'Exhibit I Federal'!I19</f>
        <v>23</v>
      </c>
      <c r="J37" s="1511"/>
      <c r="K37" s="650">
        <f>+'Exhibit I State'!K36+'Exhibit I Federal'!K19</f>
        <v>0</v>
      </c>
      <c r="L37" s="63"/>
      <c r="M37" s="650">
        <f>+'Exhibit I State'!M36+'Exhibit I Federal'!M19</f>
        <v>0</v>
      </c>
      <c r="N37" s="63"/>
      <c r="O37" s="650">
        <f>+'Exhibit I State'!O36+'Exhibit I Federal'!O19</f>
        <v>0</v>
      </c>
      <c r="P37" s="63"/>
      <c r="Q37" s="650">
        <f>+'Exhibit I State'!Q36+'Exhibit I Federal'!Q19</f>
        <v>0</v>
      </c>
      <c r="R37" s="63"/>
      <c r="S37" s="650">
        <f>+'Exhibit I State'!S36+'Exhibit I Federal'!S19</f>
        <v>0</v>
      </c>
      <c r="T37" s="63"/>
      <c r="U37" s="650">
        <f>+'Exhibit I State'!U36+'Exhibit I Federal'!U19</f>
        <v>0</v>
      </c>
      <c r="V37" s="63"/>
      <c r="W37" s="650">
        <f>+'Exhibit I State'!W36+'Exhibit I Federal'!W19</f>
        <v>0</v>
      </c>
      <c r="X37" s="63"/>
      <c r="Y37" s="650"/>
      <c r="Z37" s="63"/>
      <c r="AA37" s="650"/>
      <c r="AB37" s="167"/>
      <c r="AC37" s="167">
        <v>0</v>
      </c>
      <c r="AD37" s="63"/>
      <c r="AE37" s="54"/>
      <c r="AF37" s="1068">
        <f>ROUND(SUM(E37:AC37),1)</f>
        <v>23</v>
      </c>
      <c r="AG37" s="965"/>
      <c r="AH37" s="57"/>
      <c r="AI37" s="3399">
        <f>+'Exhibit I State'!AG36+'Exhibit I Federal'!AG19</f>
        <v>23</v>
      </c>
      <c r="AJ37" s="74"/>
      <c r="AK37" s="330"/>
      <c r="AL37" s="55">
        <f t="shared" ref="AL37:AL60" si="0">ROUND(SUM(+AF37-AI37),1)</f>
        <v>0</v>
      </c>
      <c r="AM37" s="328"/>
      <c r="AN37" s="1410">
        <f>ROUND(IF(AI37=0,1,AL37/ABS(AI37)),3)</f>
        <v>0</v>
      </c>
      <c r="AO37" s="322"/>
    </row>
    <row r="38" spans="1:44" ht="15.6">
      <c r="A38" s="28"/>
      <c r="B38" s="880" t="s">
        <v>1045</v>
      </c>
      <c r="C38" s="28"/>
      <c r="D38" s="28"/>
      <c r="E38" s="650"/>
      <c r="F38" s="1511"/>
      <c r="G38" s="650"/>
      <c r="H38" s="1511"/>
      <c r="I38" s="650"/>
      <c r="J38" s="1511"/>
      <c r="K38" s="650"/>
      <c r="L38" s="63"/>
      <c r="M38" s="650"/>
      <c r="N38" s="63"/>
      <c r="O38" s="650"/>
      <c r="P38" s="63"/>
      <c r="Q38" s="650"/>
      <c r="R38" s="63"/>
      <c r="S38" s="650"/>
      <c r="T38" s="63"/>
      <c r="U38" s="650"/>
      <c r="V38" s="63"/>
      <c r="W38" s="650"/>
      <c r="X38" s="63"/>
      <c r="Y38" s="650"/>
      <c r="Z38" s="63"/>
      <c r="AA38" s="650"/>
      <c r="AB38" s="167"/>
      <c r="AC38" s="167"/>
      <c r="AD38" s="63"/>
      <c r="AE38" s="54"/>
      <c r="AF38" s="1068"/>
      <c r="AG38" s="965"/>
      <c r="AH38" s="57"/>
      <c r="AI38" s="3399"/>
      <c r="AJ38" s="74"/>
      <c r="AK38" s="330"/>
      <c r="AL38" s="55"/>
      <c r="AM38" s="328"/>
      <c r="AN38" s="1410"/>
      <c r="AO38" s="322"/>
    </row>
    <row r="39" spans="1:44" ht="15.6">
      <c r="A39" s="28"/>
      <c r="B39" s="880" t="s">
        <v>963</v>
      </c>
      <c r="C39" s="28"/>
      <c r="D39" s="28"/>
      <c r="E39" s="650">
        <f>+'Exhibit I State'!E38+'Exhibit I Federal'!E21</f>
        <v>10</v>
      </c>
      <c r="F39" s="1511"/>
      <c r="G39" s="650">
        <f>+'Exhibit I State'!G38+'Exhibit I Federal'!G21</f>
        <v>7.6000000000000014</v>
      </c>
      <c r="H39" s="1511"/>
      <c r="I39" s="650">
        <f>+'Exhibit I State'!I38+'Exhibit I Federal'!I21</f>
        <v>6</v>
      </c>
      <c r="J39" s="1511"/>
      <c r="K39" s="650">
        <f>+'Exhibit I State'!K38+'Exhibit I Federal'!K21</f>
        <v>6.3999999999999986</v>
      </c>
      <c r="L39" s="63"/>
      <c r="M39" s="650">
        <f>+'Exhibit I State'!M38+'Exhibit I Federal'!M21</f>
        <v>6.1000000000000014</v>
      </c>
      <c r="N39" s="63"/>
      <c r="O39" s="650">
        <f>+'Exhibit I State'!O38+'Exhibit I Federal'!O21</f>
        <v>6</v>
      </c>
      <c r="P39" s="63"/>
      <c r="Q39" s="650">
        <f>+'Exhibit I State'!Q38+'Exhibit I Federal'!Q21</f>
        <v>6.3999999999999986</v>
      </c>
      <c r="R39" s="63"/>
      <c r="S39" s="650">
        <f>+'Exhibit I State'!S38+'Exhibit I Federal'!S21</f>
        <v>6</v>
      </c>
      <c r="T39" s="63"/>
      <c r="U39" s="650">
        <f>+'Exhibit I State'!U38+'Exhibit I Federal'!U21</f>
        <v>6.2000000000000028</v>
      </c>
      <c r="V39" s="63"/>
      <c r="W39" s="650">
        <f>+'Exhibit I State'!W38+'Exhibit I Federal'!W21</f>
        <v>5.8999999999999915</v>
      </c>
      <c r="X39" s="63"/>
      <c r="Y39" s="650"/>
      <c r="Z39" s="63"/>
      <c r="AA39" s="650"/>
      <c r="AB39" s="167"/>
      <c r="AC39" s="167">
        <v>0</v>
      </c>
      <c r="AD39" s="63"/>
      <c r="AE39" s="54"/>
      <c r="AF39" s="1068">
        <f>ROUND(SUM(E39:AC39),1)</f>
        <v>66.599999999999994</v>
      </c>
      <c r="AG39" s="965"/>
      <c r="AH39" s="57"/>
      <c r="AI39" s="3399">
        <f>+'Exhibit I State'!AG38+'Exhibit I Federal'!AG21</f>
        <v>66.400000000000006</v>
      </c>
      <c r="AJ39" s="74"/>
      <c r="AK39" s="330"/>
      <c r="AL39" s="55">
        <f t="shared" si="0"/>
        <v>0.2</v>
      </c>
      <c r="AM39" s="328"/>
      <c r="AN39" s="1410">
        <f>ROUND(IF(AI39=0,0,AL39/ABS(AI39)),3)</f>
        <v>3.0000000000000001E-3</v>
      </c>
      <c r="AO39" s="322"/>
    </row>
    <row r="40" spans="1:44" ht="15.6">
      <c r="A40" s="28"/>
      <c r="B40" s="880" t="s">
        <v>1049</v>
      </c>
      <c r="C40" s="28"/>
      <c r="D40" s="28"/>
      <c r="E40" s="650"/>
      <c r="F40" s="1511"/>
      <c r="G40" s="650"/>
      <c r="H40" s="1511"/>
      <c r="I40" s="650"/>
      <c r="J40" s="1511"/>
      <c r="K40" s="650"/>
      <c r="L40" s="63"/>
      <c r="M40" s="650"/>
      <c r="N40" s="63"/>
      <c r="O40" s="650"/>
      <c r="P40" s="63"/>
      <c r="Q40" s="650"/>
      <c r="R40" s="63"/>
      <c r="S40" s="650"/>
      <c r="T40" s="63"/>
      <c r="U40" s="650"/>
      <c r="V40" s="63"/>
      <c r="W40" s="650"/>
      <c r="X40" s="63"/>
      <c r="Y40" s="650"/>
      <c r="Z40" s="63"/>
      <c r="AA40" s="650"/>
      <c r="AB40" s="167"/>
      <c r="AC40" s="167"/>
      <c r="AD40" s="63"/>
      <c r="AE40" s="54"/>
      <c r="AF40" s="1068"/>
      <c r="AG40" s="965"/>
      <c r="AH40" s="57"/>
      <c r="AI40" s="3399"/>
      <c r="AJ40" s="74"/>
      <c r="AK40" s="330"/>
      <c r="AL40" s="55"/>
      <c r="AM40" s="328"/>
      <c r="AN40" s="1410"/>
      <c r="AO40" s="322"/>
    </row>
    <row r="41" spans="1:44" ht="15.6">
      <c r="A41" s="28"/>
      <c r="B41" s="880" t="s">
        <v>967</v>
      </c>
      <c r="C41" s="28"/>
      <c r="D41" s="28"/>
      <c r="E41" s="650">
        <f>+'Exhibit I State'!E40+'Exhibit I Federal'!E23</f>
        <v>1.3</v>
      </c>
      <c r="F41" s="1511"/>
      <c r="G41" s="650">
        <f>+'Exhibit I State'!G40+'Exhibit I Federal'!G23</f>
        <v>1.7</v>
      </c>
      <c r="H41" s="1511"/>
      <c r="I41" s="650">
        <f>+'Exhibit I State'!I40+'Exhibit I Federal'!I23</f>
        <v>2.0999999999999996</v>
      </c>
      <c r="J41" s="1511"/>
      <c r="K41" s="650">
        <f>+'Exhibit I State'!K40+'Exhibit I Federal'!K23</f>
        <v>1.4000000000000004</v>
      </c>
      <c r="L41" s="63"/>
      <c r="M41" s="650">
        <f>+'Exhibit I State'!M40+'Exhibit I Federal'!M23</f>
        <v>8.5</v>
      </c>
      <c r="N41" s="63"/>
      <c r="O41" s="650">
        <f>+'Exhibit I State'!O40+'Exhibit I Federal'!O23</f>
        <v>7.4999999999999982</v>
      </c>
      <c r="P41" s="63"/>
      <c r="Q41" s="650">
        <f>+'Exhibit I State'!Q40+'Exhibit I Federal'!Q23</f>
        <v>3.300000000000006</v>
      </c>
      <c r="R41" s="63"/>
      <c r="S41" s="650">
        <f>+'Exhibit I State'!S40+'Exhibit I Federal'!S23</f>
        <v>1.6999999999999957</v>
      </c>
      <c r="T41" s="63"/>
      <c r="U41" s="650">
        <f>+'Exhibit I State'!U40+'Exhibit I Federal'!U23</f>
        <v>1.8999999999999986</v>
      </c>
      <c r="V41" s="63"/>
      <c r="W41" s="650">
        <f>+'Exhibit I State'!W40+'Exhibit I Federal'!W23</f>
        <v>0.10000000000000142</v>
      </c>
      <c r="X41" s="63"/>
      <c r="Y41" s="650"/>
      <c r="Z41" s="63"/>
      <c r="AA41" s="650"/>
      <c r="AB41" s="167"/>
      <c r="AC41" s="167">
        <v>0</v>
      </c>
      <c r="AD41" s="63"/>
      <c r="AE41" s="54"/>
      <c r="AF41" s="1068">
        <f t="shared" ref="AF41:AF44" si="1">ROUND(SUM(E41:AC41),1)</f>
        <v>29.5</v>
      </c>
      <c r="AG41" s="965"/>
      <c r="AH41" s="57"/>
      <c r="AI41" s="3399">
        <f>+'Exhibit I State'!AG40+'Exhibit I Federal'!AG23</f>
        <v>25</v>
      </c>
      <c r="AJ41" s="74"/>
      <c r="AK41" s="330"/>
      <c r="AL41" s="55">
        <f t="shared" si="0"/>
        <v>4.5</v>
      </c>
      <c r="AM41" s="328"/>
      <c r="AN41" s="1410">
        <f>ROUND(IF(AI41=0,0,AL41/ABS(AI41)),3)</f>
        <v>0.18</v>
      </c>
      <c r="AO41" s="322"/>
    </row>
    <row r="42" spans="1:44" ht="15.6">
      <c r="A42" s="28"/>
      <c r="B42" s="880" t="s">
        <v>1105</v>
      </c>
      <c r="C42" s="28"/>
      <c r="D42" s="28"/>
      <c r="E42" s="650">
        <f>+'Exhibit I State'!E41+'Exhibit I Federal'!E24</f>
        <v>0</v>
      </c>
      <c r="F42" s="1511"/>
      <c r="G42" s="650">
        <f>+'Exhibit I State'!G41+'Exhibit I Federal'!G24</f>
        <v>0</v>
      </c>
      <c r="H42" s="1511"/>
      <c r="I42" s="650">
        <f>+'Exhibit I State'!I41+'Exhibit I Federal'!I24</f>
        <v>0</v>
      </c>
      <c r="J42" s="1511"/>
      <c r="K42" s="650">
        <f>+'Exhibit I State'!K41+'Exhibit I Federal'!K24</f>
        <v>0</v>
      </c>
      <c r="L42" s="63"/>
      <c r="M42" s="650">
        <f>+'Exhibit I State'!M41+'Exhibit I Federal'!M24</f>
        <v>0</v>
      </c>
      <c r="N42" s="63"/>
      <c r="O42" s="650">
        <f>+'Exhibit I State'!O41+'Exhibit I Federal'!O24</f>
        <v>0</v>
      </c>
      <c r="P42" s="63"/>
      <c r="Q42" s="650">
        <f>+'Exhibit I State'!Q41+'Exhibit I Federal'!Q24</f>
        <v>0</v>
      </c>
      <c r="R42" s="63"/>
      <c r="S42" s="650">
        <f>+'Exhibit I State'!S41+'Exhibit I Federal'!S24</f>
        <v>0</v>
      </c>
      <c r="T42" s="63"/>
      <c r="U42" s="650">
        <f>+'Exhibit I State'!U41+'Exhibit I Federal'!U24</f>
        <v>0</v>
      </c>
      <c r="V42" s="63"/>
      <c r="W42" s="650">
        <f>+'Exhibit I State'!W41+'Exhibit I Federal'!W24</f>
        <v>0</v>
      </c>
      <c r="X42" s="63"/>
      <c r="Y42" s="650"/>
      <c r="Z42" s="63"/>
      <c r="AA42" s="650"/>
      <c r="AB42" s="167"/>
      <c r="AC42" s="167">
        <v>0</v>
      </c>
      <c r="AD42" s="63"/>
      <c r="AE42" s="54"/>
      <c r="AF42" s="1068">
        <f t="shared" si="1"/>
        <v>0</v>
      </c>
      <c r="AG42" s="1464"/>
      <c r="AH42" s="57"/>
      <c r="AI42" s="3399">
        <f>+'Exhibit I State'!AG41+'Exhibit I Federal'!AG24</f>
        <v>0</v>
      </c>
      <c r="AJ42" s="74"/>
      <c r="AK42" s="330"/>
      <c r="AL42" s="55">
        <f>ROUND(SUM(+AF42-AI42),1)</f>
        <v>0</v>
      </c>
      <c r="AM42" s="328"/>
      <c r="AN42" s="1410">
        <f>ROUND(IF(AI42=0,0,AL42/ABS(AI42)),3)</f>
        <v>0</v>
      </c>
      <c r="AO42" s="322"/>
    </row>
    <row r="43" spans="1:44" ht="15.6">
      <c r="A43" s="28"/>
      <c r="B43" s="880" t="s">
        <v>970</v>
      </c>
      <c r="C43" s="28"/>
      <c r="D43" s="28"/>
      <c r="E43" s="650">
        <f>+'Exhibit I State'!E42+'Exhibit I Federal'!E25</f>
        <v>79.2</v>
      </c>
      <c r="F43" s="1511"/>
      <c r="G43" s="650">
        <f>+'Exhibit I State'!G42+'Exhibit I Federal'!G25</f>
        <v>69.100000000000009</v>
      </c>
      <c r="H43" s="1511"/>
      <c r="I43" s="650">
        <f>+'Exhibit I State'!I42+'Exhibit I Federal'!I25</f>
        <v>60.59999999999998</v>
      </c>
      <c r="J43" s="1511"/>
      <c r="K43" s="650">
        <f>+'Exhibit I State'!K42+'Exhibit I Federal'!K25</f>
        <v>66</v>
      </c>
      <c r="L43" s="63"/>
      <c r="M43" s="650">
        <f>+'Exhibit I State'!M42+'Exhibit I Federal'!M25</f>
        <v>58.999999999999986</v>
      </c>
      <c r="N43" s="63"/>
      <c r="O43" s="650">
        <f>+'Exhibit I State'!O42+'Exhibit I Federal'!O25</f>
        <v>59.500000000000014</v>
      </c>
      <c r="P43" s="63"/>
      <c r="Q43" s="650">
        <f>+'Exhibit I State'!Q42+'Exhibit I Federal'!Q25</f>
        <v>55.300000000000011</v>
      </c>
      <c r="R43" s="63"/>
      <c r="S43" s="650">
        <f>+'Exhibit I State'!S42+'Exhibit I Federal'!S25</f>
        <v>52.099999999999952</v>
      </c>
      <c r="T43" s="63"/>
      <c r="U43" s="650">
        <f>+'Exhibit I State'!U42+'Exhibit I Federal'!U25</f>
        <v>52.100000000000037</v>
      </c>
      <c r="V43" s="63"/>
      <c r="W43" s="650">
        <f>+'Exhibit I State'!W42+'Exhibit I Federal'!W25</f>
        <v>52.999999999999943</v>
      </c>
      <c r="X43" s="63"/>
      <c r="Y43" s="650"/>
      <c r="Z43" s="63"/>
      <c r="AA43" s="650"/>
      <c r="AB43" s="167"/>
      <c r="AC43" s="167">
        <v>0</v>
      </c>
      <c r="AD43" s="63"/>
      <c r="AE43" s="54"/>
      <c r="AF43" s="1068">
        <f>ROUND(SUM(E43:AC43),1)</f>
        <v>605.9</v>
      </c>
      <c r="AG43" s="965"/>
      <c r="AH43" s="57"/>
      <c r="AI43" s="3399">
        <f>+'Exhibit I State'!AG42+'Exhibit I Federal'!AG25</f>
        <v>550.4</v>
      </c>
      <c r="AJ43" s="74"/>
      <c r="AK43" s="330"/>
      <c r="AL43" s="55">
        <f t="shared" si="0"/>
        <v>55.5</v>
      </c>
      <c r="AM43" s="328"/>
      <c r="AN43" s="1410">
        <f>ROUND(IF(AI43=0,0,AL43/ABS(AI43)),3)</f>
        <v>0.10100000000000001</v>
      </c>
      <c r="AO43" s="322"/>
    </row>
    <row r="44" spans="1:44" ht="15.6">
      <c r="A44" s="28"/>
      <c r="B44" s="880" t="s">
        <v>971</v>
      </c>
      <c r="C44" s="28"/>
      <c r="D44" s="28"/>
      <c r="E44" s="650">
        <f>+'Exhibit I State'!E43+'Exhibit I Federal'!E26</f>
        <v>1.5</v>
      </c>
      <c r="F44" s="1511"/>
      <c r="G44" s="650">
        <f>+'Exhibit I State'!G43+'Exhibit I Federal'!G26</f>
        <v>2.9000000000000004</v>
      </c>
      <c r="H44" s="1511"/>
      <c r="I44" s="650">
        <f>+'Exhibit I State'!I43+'Exhibit I Federal'!I26</f>
        <v>1.4999999999999991</v>
      </c>
      <c r="J44" s="1511"/>
      <c r="K44" s="650">
        <f>+'Exhibit I State'!K43+'Exhibit I Federal'!K26</f>
        <v>0.40000000000000036</v>
      </c>
      <c r="L44" s="63"/>
      <c r="M44" s="650">
        <f>+'Exhibit I State'!M43+'Exhibit I Federal'!M26</f>
        <v>0.40000000000000036</v>
      </c>
      <c r="N44" s="63"/>
      <c r="O44" s="650">
        <f>+'Exhibit I State'!O43+'Exhibit I Federal'!O26</f>
        <v>10.199999999999999</v>
      </c>
      <c r="P44" s="63"/>
      <c r="Q44" s="650">
        <f>+'Exhibit I State'!Q43+'Exhibit I Federal'!Q26</f>
        <v>5</v>
      </c>
      <c r="R44" s="63"/>
      <c r="S44" s="650">
        <f>+'Exhibit I State'!S43+'Exhibit I Federal'!S26</f>
        <v>2.100000000000005</v>
      </c>
      <c r="T44" s="63"/>
      <c r="U44" s="650">
        <f>+'Exhibit I State'!U43+'Exhibit I Federal'!U26</f>
        <v>3.6999999999999957</v>
      </c>
      <c r="V44" s="63"/>
      <c r="W44" s="650">
        <f>+'Exhibit I State'!W43+'Exhibit I Federal'!W26</f>
        <v>0.10000000000000142</v>
      </c>
      <c r="X44" s="63"/>
      <c r="Y44" s="650"/>
      <c r="Z44" s="63"/>
      <c r="AA44" s="650"/>
      <c r="AB44" s="167"/>
      <c r="AC44" s="167">
        <v>0</v>
      </c>
      <c r="AD44" s="63"/>
      <c r="AE44" s="54"/>
      <c r="AF44" s="1068">
        <f t="shared" si="1"/>
        <v>27.8</v>
      </c>
      <c r="AG44" s="965"/>
      <c r="AH44" s="57"/>
      <c r="AI44" s="3400">
        <f>+'Exhibit I State'!AG43+'Exhibit I Federal'!AG26</f>
        <v>20.2</v>
      </c>
      <c r="AJ44" s="74"/>
      <c r="AK44" s="330"/>
      <c r="AL44" s="660">
        <f>ROUND(SUM(+AF44-AI44),1)</f>
        <v>7.6</v>
      </c>
      <c r="AM44" s="931"/>
      <c r="AN44" s="1449">
        <f>ROUND(IF(AI44=0,1,AL44/ABS(AI44)),3)</f>
        <v>0.376</v>
      </c>
      <c r="AO44" s="322"/>
    </row>
    <row r="45" spans="1:44" ht="15.6">
      <c r="A45" s="28"/>
      <c r="B45" s="880" t="s">
        <v>930</v>
      </c>
      <c r="C45" s="28"/>
      <c r="D45" s="28"/>
      <c r="E45" s="650">
        <f>+'Exhibit I State'!E44+'Exhibit I Federal'!E27</f>
        <v>2.5</v>
      </c>
      <c r="F45" s="1511"/>
      <c r="G45" s="650">
        <f>+'Exhibit I State'!G44+'Exhibit I Federal'!G27</f>
        <v>0.80000000000000027</v>
      </c>
      <c r="H45" s="1511"/>
      <c r="I45" s="650">
        <f>+'Exhibit I State'!I44+'Exhibit I Federal'!I27</f>
        <v>2.8000000000000003</v>
      </c>
      <c r="J45" s="1511"/>
      <c r="K45" s="650">
        <f>+'Exhibit I State'!K44+'Exhibit I Federal'!K27</f>
        <v>1.9999999999999987</v>
      </c>
      <c r="L45" s="63"/>
      <c r="M45" s="650">
        <f>+'Exhibit I State'!M44+'Exhibit I Federal'!M27</f>
        <v>3.0999999999999992</v>
      </c>
      <c r="N45" s="63"/>
      <c r="O45" s="650">
        <f>+'Exhibit I State'!O44+'Exhibit I Federal'!O27</f>
        <v>1.4000000000000008</v>
      </c>
      <c r="P45" s="63"/>
      <c r="Q45" s="650">
        <f>+'Exhibit I State'!Q44+'Exhibit I Federal'!Q27</f>
        <v>2.6999999999999988</v>
      </c>
      <c r="R45" s="63"/>
      <c r="S45" s="650">
        <f>+'Exhibit I State'!S44+'Exhibit I Federal'!S27</f>
        <v>1.4000000000000008</v>
      </c>
      <c r="T45" s="63"/>
      <c r="U45" s="650">
        <f>+'Exhibit I State'!U44+'Exhibit I Federal'!U27</f>
        <v>2.5</v>
      </c>
      <c r="V45" s="63"/>
      <c r="W45" s="650">
        <f>+'Exhibit I State'!W44+'Exhibit I Federal'!W27</f>
        <v>0.80000000000000027</v>
      </c>
      <c r="X45" s="63"/>
      <c r="Y45" s="650"/>
      <c r="Z45" s="63"/>
      <c r="AA45" s="650"/>
      <c r="AB45" s="167"/>
      <c r="AC45" s="167">
        <v>0</v>
      </c>
      <c r="AD45" s="63"/>
      <c r="AE45" s="54"/>
      <c r="AF45" s="1068">
        <f>ROUND(SUM(E45:AC45),1)</f>
        <v>20</v>
      </c>
      <c r="AG45" s="965"/>
      <c r="AH45" s="57"/>
      <c r="AI45" s="3399">
        <f>+'Exhibit I State'!AG44+'Exhibit I Federal'!AG27</f>
        <v>19.399999999999999</v>
      </c>
      <c r="AJ45" s="74"/>
      <c r="AK45" s="330"/>
      <c r="AL45" s="55">
        <f t="shared" si="0"/>
        <v>0.6</v>
      </c>
      <c r="AM45" s="328"/>
      <c r="AN45" s="1463">
        <f>ROUND(IF(AI45=0,1,AL45/ABS(AI45)),3)</f>
        <v>3.1E-2</v>
      </c>
      <c r="AO45" s="322"/>
    </row>
    <row r="46" spans="1:44" ht="15.6">
      <c r="A46" s="28"/>
      <c r="B46" s="880" t="s">
        <v>931</v>
      </c>
      <c r="C46" s="28"/>
      <c r="D46" s="28"/>
      <c r="E46" s="650">
        <f>+'Exhibit I State'!E45+'Exhibit I Federal'!E28</f>
        <v>0</v>
      </c>
      <c r="F46" s="1511"/>
      <c r="G46" s="650">
        <f>+'Exhibit I State'!G45+'Exhibit I Federal'!G28</f>
        <v>0.1</v>
      </c>
      <c r="H46" s="1511"/>
      <c r="I46" s="650">
        <f>+'Exhibit I State'!I45+'Exhibit I Federal'!I28</f>
        <v>0</v>
      </c>
      <c r="J46" s="1511"/>
      <c r="K46" s="650">
        <f>+'Exhibit I State'!K45+'Exhibit I Federal'!K28</f>
        <v>0</v>
      </c>
      <c r="L46" s="63"/>
      <c r="M46" s="650">
        <f>+'Exhibit I State'!M45+'Exhibit I Federal'!M28</f>
        <v>0.1</v>
      </c>
      <c r="N46" s="63"/>
      <c r="O46" s="650">
        <f>+'Exhibit I State'!O45+'Exhibit I Federal'!O28</f>
        <v>0</v>
      </c>
      <c r="P46" s="63"/>
      <c r="Q46" s="650">
        <f>+'Exhibit I State'!Q45+'Exhibit I Federal'!Q28</f>
        <v>0</v>
      </c>
      <c r="R46" s="63"/>
      <c r="S46" s="650">
        <f>+'Exhibit I State'!S45+'Exhibit I Federal'!S28</f>
        <v>0</v>
      </c>
      <c r="T46" s="63"/>
      <c r="U46" s="650">
        <f>+'Exhibit I State'!U45+'Exhibit I Federal'!U28</f>
        <v>0</v>
      </c>
      <c r="V46" s="63"/>
      <c r="W46" s="650">
        <f>+'Exhibit I State'!W45+'Exhibit I Federal'!W28</f>
        <v>9.9999999999999978E-2</v>
      </c>
      <c r="X46" s="63"/>
      <c r="Y46" s="650"/>
      <c r="Z46" s="63"/>
      <c r="AA46" s="650"/>
      <c r="AB46" s="167"/>
      <c r="AC46" s="167">
        <v>0</v>
      </c>
      <c r="AD46" s="63"/>
      <c r="AE46" s="54"/>
      <c r="AF46" s="1068">
        <f>ROUND(SUM(E46:AC46),1)</f>
        <v>0.3</v>
      </c>
      <c r="AG46" s="965"/>
      <c r="AH46" s="57"/>
      <c r="AI46" s="3399">
        <f>+'Exhibit I State'!AG45+'Exhibit I Federal'!AG28</f>
        <v>1.7</v>
      </c>
      <c r="AJ46" s="74"/>
      <c r="AK46" s="330"/>
      <c r="AL46" s="55">
        <f>ROUND(SUM(+AF46-AI46),1)</f>
        <v>-1.4</v>
      </c>
      <c r="AM46" s="328"/>
      <c r="AN46" s="1410">
        <f>ROUND(IF(AI46=0,1,AL46/ABS(AI46)),3)</f>
        <v>-0.82399999999999995</v>
      </c>
      <c r="AO46" s="322"/>
    </row>
    <row r="47" spans="1:44" ht="15.6">
      <c r="A47" s="28"/>
      <c r="B47" s="880" t="s">
        <v>948</v>
      </c>
      <c r="C47" s="28"/>
      <c r="D47" s="28"/>
      <c r="E47" s="650">
        <f>+'Exhibit I State'!E46+'Exhibit I Federal'!E29</f>
        <v>0</v>
      </c>
      <c r="F47" s="1511"/>
      <c r="G47" s="650">
        <f>+'Exhibit I State'!G46+'Exhibit I Federal'!G29</f>
        <v>0</v>
      </c>
      <c r="H47" s="1511"/>
      <c r="I47" s="650">
        <f>+'Exhibit I State'!I46+'Exhibit I Federal'!I29</f>
        <v>0</v>
      </c>
      <c r="J47" s="1511"/>
      <c r="K47" s="650">
        <f>+'Exhibit I State'!K46+'Exhibit I Federal'!K29</f>
        <v>0</v>
      </c>
      <c r="L47" s="63"/>
      <c r="M47" s="650">
        <f>+'Exhibit I State'!M46+'Exhibit I Federal'!M29</f>
        <v>0.1</v>
      </c>
      <c r="N47" s="63"/>
      <c r="O47" s="650">
        <f>+'Exhibit I State'!O46+'Exhibit I Federal'!O29</f>
        <v>0</v>
      </c>
      <c r="P47" s="63"/>
      <c r="Q47" s="650">
        <f>+'Exhibit I State'!Q46+'Exhibit I Federal'!Q29</f>
        <v>0</v>
      </c>
      <c r="R47" s="63"/>
      <c r="S47" s="650">
        <f>+'Exhibit I State'!S46+'Exhibit I Federal'!S29</f>
        <v>0</v>
      </c>
      <c r="T47" s="63"/>
      <c r="U47" s="650">
        <f>+'Exhibit I State'!U46+'Exhibit I Federal'!U29</f>
        <v>0</v>
      </c>
      <c r="V47" s="63"/>
      <c r="W47" s="650">
        <f>+'Exhibit I State'!W46+'Exhibit I Federal'!W29</f>
        <v>0.19999999999999998</v>
      </c>
      <c r="X47" s="63"/>
      <c r="Y47" s="650"/>
      <c r="Z47" s="63"/>
      <c r="AA47" s="650"/>
      <c r="AB47" s="167"/>
      <c r="AC47" s="167">
        <v>0</v>
      </c>
      <c r="AD47" s="63"/>
      <c r="AE47" s="54"/>
      <c r="AF47" s="1068">
        <f>ROUND(SUM(E47:AC47),1)</f>
        <v>0.3</v>
      </c>
      <c r="AG47" s="965"/>
      <c r="AH47" s="57"/>
      <c r="AI47" s="3399">
        <f>+'Exhibit I State'!AG46+'Exhibit I Federal'!AG29</f>
        <v>0.6</v>
      </c>
      <c r="AJ47" s="74"/>
      <c r="AK47" s="330"/>
      <c r="AL47" s="55">
        <f>ROUND(SUM(+AF47-AI47),1)</f>
        <v>-0.3</v>
      </c>
      <c r="AM47" s="328"/>
      <c r="AN47" s="1410">
        <f>ROUND(IF(AI47=0,0,AL47/ABS(AI47)),3)</f>
        <v>-0.5</v>
      </c>
      <c r="AO47" s="322"/>
    </row>
    <row r="48" spans="1:44" ht="15.6">
      <c r="A48" s="28"/>
      <c r="B48" s="880" t="s">
        <v>1047</v>
      </c>
      <c r="C48" s="28"/>
      <c r="D48" s="28"/>
      <c r="E48" s="650"/>
      <c r="F48" s="1511"/>
      <c r="G48" s="650"/>
      <c r="H48" s="1511"/>
      <c r="I48" s="650"/>
      <c r="J48" s="1511"/>
      <c r="K48" s="650"/>
      <c r="L48" s="63"/>
      <c r="M48" s="650"/>
      <c r="N48" s="63"/>
      <c r="O48" s="650"/>
      <c r="P48" s="63"/>
      <c r="Q48" s="650"/>
      <c r="R48" s="63"/>
      <c r="S48" s="650"/>
      <c r="T48" s="63"/>
      <c r="U48" s="650"/>
      <c r="V48" s="63"/>
      <c r="W48" s="650"/>
      <c r="X48" s="63"/>
      <c r="Y48" s="650"/>
      <c r="Z48" s="63"/>
      <c r="AA48" s="650"/>
      <c r="AB48" s="167"/>
      <c r="AC48" s="167"/>
      <c r="AD48" s="63"/>
      <c r="AE48" s="54"/>
      <c r="AF48" s="1068"/>
      <c r="AG48" s="965"/>
      <c r="AH48" s="57"/>
      <c r="AI48" s="3399"/>
      <c r="AJ48" s="74"/>
      <c r="AK48" s="330"/>
      <c r="AL48" s="55"/>
      <c r="AM48" s="328"/>
      <c r="AN48" s="8"/>
      <c r="AO48" s="322"/>
    </row>
    <row r="49" spans="1:41" ht="15.6">
      <c r="A49" s="28"/>
      <c r="B49" s="880" t="s">
        <v>974</v>
      </c>
      <c r="C49" s="28"/>
      <c r="D49" s="28"/>
      <c r="E49" s="650">
        <f>+'Exhibit I State'!E48+'Exhibit I Federal'!E31</f>
        <v>78.399999999999991</v>
      </c>
      <c r="F49" s="1511"/>
      <c r="G49" s="650">
        <f>+'Exhibit I State'!G48+'Exhibit I Federal'!G31</f>
        <v>0.50000000000001421</v>
      </c>
      <c r="H49" s="1511"/>
      <c r="I49" s="650">
        <f>+'Exhibit I State'!I48+'Exhibit I Federal'!I31</f>
        <v>3</v>
      </c>
      <c r="J49" s="1511"/>
      <c r="K49" s="650">
        <f>+'Exhibit I State'!K48+'Exhibit I Federal'!K31</f>
        <v>237</v>
      </c>
      <c r="L49" s="63"/>
      <c r="M49" s="650">
        <f>+'Exhibit I State'!M48+'Exhibit I Federal'!M31</f>
        <v>27.600000000000023</v>
      </c>
      <c r="N49" s="63"/>
      <c r="O49" s="650">
        <f>+'Exhibit I State'!O48+'Exhibit I Federal'!O31</f>
        <v>328.1</v>
      </c>
      <c r="P49" s="63"/>
      <c r="Q49" s="650">
        <f>+'Exhibit I State'!Q48+'Exhibit I Federal'!Q31</f>
        <v>979.1999999999997</v>
      </c>
      <c r="R49" s="63"/>
      <c r="S49" s="650">
        <f>+'Exhibit I State'!S48+'Exhibit I Federal'!S31</f>
        <v>0.6000000000003638</v>
      </c>
      <c r="T49" s="63"/>
      <c r="U49" s="650">
        <f>+'Exhibit I State'!U48+'Exhibit I Federal'!U31</f>
        <v>583.00000000000011</v>
      </c>
      <c r="V49" s="63"/>
      <c r="W49" s="650">
        <f>+'Exhibit I State'!W48+'Exhibit I Federal'!W31</f>
        <v>117.29999999999973</v>
      </c>
      <c r="X49" s="63"/>
      <c r="Y49" s="650"/>
      <c r="Z49" s="63"/>
      <c r="AA49" s="650"/>
      <c r="AB49" s="167"/>
      <c r="AC49" s="167">
        <v>0</v>
      </c>
      <c r="AD49" s="63"/>
      <c r="AE49" s="54"/>
      <c r="AF49" s="1068">
        <f>ROUND(SUM(E49:AC49),1)</f>
        <v>2354.6999999999998</v>
      </c>
      <c r="AG49" s="965"/>
      <c r="AH49" s="57"/>
      <c r="AI49" s="3399">
        <f>+'Exhibit I State'!AG48+'Exhibit I Federal'!AG31</f>
        <v>4053.2</v>
      </c>
      <c r="AJ49" s="74"/>
      <c r="AK49" s="330"/>
      <c r="AL49" s="55">
        <f t="shared" si="0"/>
        <v>-1698.5</v>
      </c>
      <c r="AM49" s="328"/>
      <c r="AN49" s="1856">
        <f>ROUND(IF(AI49=0,1,AL49/ABS(AI49)),3)</f>
        <v>-0.41899999999999998</v>
      </c>
      <c r="AO49" s="322"/>
    </row>
    <row r="50" spans="1:41" ht="15.6">
      <c r="A50" s="28"/>
      <c r="B50" s="880" t="s">
        <v>976</v>
      </c>
      <c r="C50" s="28"/>
      <c r="D50" s="28"/>
      <c r="E50" s="650">
        <f>+'Exhibit I State'!E49+'Exhibit I Federal'!E32</f>
        <v>0</v>
      </c>
      <c r="F50" s="650">
        <v>0</v>
      </c>
      <c r="G50" s="1110">
        <f>+'Exhibit I State'!G49+'Exhibit I Federal'!G32</f>
        <v>0</v>
      </c>
      <c r="H50" s="650"/>
      <c r="I50" s="1110">
        <f>+'Exhibit I State'!I49+'Exhibit I Federal'!I32</f>
        <v>0</v>
      </c>
      <c r="J50" s="650"/>
      <c r="K50" s="1110">
        <f>+'Exhibit I State'!K49+'Exhibit I Federal'!K32</f>
        <v>0</v>
      </c>
      <c r="L50" s="167"/>
      <c r="M50" s="1110">
        <f>+'Exhibit I State'!M49+'Exhibit I Federal'!M32</f>
        <v>0</v>
      </c>
      <c r="N50" s="167"/>
      <c r="O50" s="1110">
        <f>+'Exhibit I State'!O49+'Exhibit I Federal'!O32</f>
        <v>0</v>
      </c>
      <c r="P50" s="167"/>
      <c r="Q50" s="1110">
        <f>+'Exhibit I State'!Q49+'Exhibit I Federal'!Q32</f>
        <v>0</v>
      </c>
      <c r="R50" s="63"/>
      <c r="S50" s="1110">
        <f>+'Exhibit I State'!S49+'Exhibit I Federal'!S32</f>
        <v>0</v>
      </c>
      <c r="T50" s="63"/>
      <c r="U50" s="1110">
        <f>+'Exhibit I State'!U49+'Exhibit I Federal'!U32</f>
        <v>0</v>
      </c>
      <c r="V50" s="63"/>
      <c r="W50" s="1110">
        <f>+'Exhibit I State'!W49+'Exhibit I Federal'!W32</f>
        <v>0</v>
      </c>
      <c r="X50" s="63"/>
      <c r="Y50" s="650"/>
      <c r="Z50" s="63"/>
      <c r="AA50" s="650"/>
      <c r="AB50" s="167"/>
      <c r="AC50" s="167">
        <v>0</v>
      </c>
      <c r="AD50" s="63"/>
      <c r="AE50" s="54"/>
      <c r="AF50" s="1068">
        <f>ROUND(SUM(E50:AC50),1)</f>
        <v>0</v>
      </c>
      <c r="AG50" s="1464"/>
      <c r="AH50" s="57"/>
      <c r="AI50" s="3399">
        <f>+'Exhibit I State'!AG49+'Exhibit I Federal'!AG32</f>
        <v>0</v>
      </c>
      <c r="AJ50" s="74"/>
      <c r="AK50" s="330"/>
      <c r="AL50" s="55">
        <f t="shared" si="0"/>
        <v>0</v>
      </c>
      <c r="AM50" s="328"/>
      <c r="AN50" s="1410">
        <f>ROUND(IF(AI50=0,0,AL50/ABS(AI50)),3)</f>
        <v>0</v>
      </c>
      <c r="AO50" s="322"/>
    </row>
    <row r="51" spans="1:41" ht="15.6">
      <c r="A51" s="28"/>
      <c r="B51" s="880" t="s">
        <v>977</v>
      </c>
      <c r="C51" s="28"/>
      <c r="D51" s="28"/>
      <c r="E51" s="650">
        <f>+'Exhibit I State'!E50+'Exhibit I Federal'!E33</f>
        <v>0.5</v>
      </c>
      <c r="F51" s="1511"/>
      <c r="G51" s="650">
        <f>+'Exhibit I State'!G50+'Exhibit I Federal'!G33</f>
        <v>2.5</v>
      </c>
      <c r="H51" s="1511"/>
      <c r="I51" s="650">
        <f>+'Exhibit I State'!I50+'Exhibit I Federal'!I33</f>
        <v>0.79999999999999982</v>
      </c>
      <c r="J51" s="1511"/>
      <c r="K51" s="650">
        <f>+'Exhibit I State'!K50+'Exhibit I Federal'!K33</f>
        <v>0</v>
      </c>
      <c r="L51" s="63"/>
      <c r="M51" s="650">
        <f>+'Exhibit I State'!M50+'Exhibit I Federal'!M33</f>
        <v>0</v>
      </c>
      <c r="N51" s="63"/>
      <c r="O51" s="650">
        <f>+'Exhibit I State'!O50+'Exhibit I Federal'!O33</f>
        <v>0</v>
      </c>
      <c r="P51" s="63"/>
      <c r="Q51" s="650">
        <f>+'Exhibit I State'!Q50+'Exhibit I Federal'!Q33</f>
        <v>1</v>
      </c>
      <c r="R51" s="63"/>
      <c r="S51" s="650">
        <f>+'Exhibit I State'!S50+'Exhibit I Federal'!S33</f>
        <v>0</v>
      </c>
      <c r="T51" s="63"/>
      <c r="U51" s="650">
        <f>+'Exhibit I State'!U50+'Exhibit I Federal'!U33</f>
        <v>5.3999999999999995</v>
      </c>
      <c r="V51" s="63"/>
      <c r="W51" s="650">
        <f>+'Exhibit I State'!W50+'Exhibit I Federal'!W33</f>
        <v>1.5</v>
      </c>
      <c r="X51" s="63"/>
      <c r="Y51" s="650"/>
      <c r="Z51" s="63"/>
      <c r="AA51" s="650"/>
      <c r="AB51" s="167"/>
      <c r="AC51" s="167">
        <v>0</v>
      </c>
      <c r="AD51" s="63"/>
      <c r="AE51" s="54"/>
      <c r="AF51" s="1068">
        <f>ROUND(SUM(E51:AC51),1)</f>
        <v>11.7</v>
      </c>
      <c r="AG51" s="965"/>
      <c r="AH51" s="57"/>
      <c r="AI51" s="3399">
        <f>+'Exhibit I State'!AG50+'Exhibit I Federal'!AG33</f>
        <v>17.3</v>
      </c>
      <c r="AJ51" s="74"/>
      <c r="AK51" s="330"/>
      <c r="AL51" s="55">
        <f t="shared" si="0"/>
        <v>-5.6</v>
      </c>
      <c r="AM51" s="328"/>
      <c r="AN51" s="1538">
        <f>ROUND(IF(AI51=0,1,AL51/ABS(AI51)),3)</f>
        <v>-0.32400000000000001</v>
      </c>
      <c r="AO51" s="322"/>
    </row>
    <row r="52" spans="1:41" ht="15.6">
      <c r="A52" s="28"/>
      <c r="B52" s="880" t="s">
        <v>949</v>
      </c>
      <c r="C52" s="28"/>
      <c r="D52" s="28"/>
      <c r="E52" s="650">
        <f>+'Exhibit I State'!E51+'Exhibit I Federal'!E34</f>
        <v>3.3</v>
      </c>
      <c r="F52" s="1511"/>
      <c r="G52" s="650">
        <f>+'Exhibit I State'!G51+'Exhibit I Federal'!G34</f>
        <v>0.79999999999999982</v>
      </c>
      <c r="H52" s="1511"/>
      <c r="I52" s="650">
        <f>+'Exhibit I State'!I51+'Exhibit I Federal'!I34</f>
        <v>1.4000000000000004</v>
      </c>
      <c r="J52" s="1511"/>
      <c r="K52" s="650">
        <f>+'Exhibit I State'!K51+'Exhibit I Federal'!K34</f>
        <v>1.5999999999999996</v>
      </c>
      <c r="L52" s="63"/>
      <c r="M52" s="650">
        <f>+'Exhibit I State'!M51+'Exhibit I Federal'!M34</f>
        <v>1.2000000000000011</v>
      </c>
      <c r="N52" s="63"/>
      <c r="O52" s="650">
        <f>+'Exhibit I State'!O51+'Exhibit I Federal'!O34</f>
        <v>1.5</v>
      </c>
      <c r="P52" s="63"/>
      <c r="Q52" s="650">
        <f>+'Exhibit I State'!Q51+'Exhibit I Federal'!Q34</f>
        <v>1.8999999999999977</v>
      </c>
      <c r="R52" s="63"/>
      <c r="S52" s="650">
        <f>+'Exhibit I State'!S51+'Exhibit I Federal'!S34</f>
        <v>3.200000000000002</v>
      </c>
      <c r="T52" s="63"/>
      <c r="U52" s="650">
        <f>+'Exhibit I State'!U51+'Exhibit I Federal'!U34</f>
        <v>4.9999999999999973</v>
      </c>
      <c r="V52" s="63"/>
      <c r="W52" s="650">
        <f>+'Exhibit I State'!W51+'Exhibit I Federal'!W34</f>
        <v>0.60000000000000142</v>
      </c>
      <c r="X52" s="63"/>
      <c r="Y52" s="650"/>
      <c r="Z52" s="63"/>
      <c r="AA52" s="650"/>
      <c r="AB52" s="167"/>
      <c r="AC52" s="167">
        <v>0</v>
      </c>
      <c r="AD52" s="63"/>
      <c r="AE52" s="54"/>
      <c r="AF52" s="1068">
        <f>ROUND(SUM(E52:AC52),1)</f>
        <v>20.5</v>
      </c>
      <c r="AG52" s="965"/>
      <c r="AH52" s="57"/>
      <c r="AI52" s="3401">
        <f>+'Exhibit I State'!AG51+'Exhibit I Federal'!AG34</f>
        <v>15.1</v>
      </c>
      <c r="AJ52" s="74"/>
      <c r="AK52" s="330"/>
      <c r="AL52" s="55">
        <f t="shared" si="0"/>
        <v>5.4</v>
      </c>
      <c r="AM52" s="328"/>
      <c r="AN52" s="8">
        <f>ROUND(IF(AI52=0,0,AL52/ABS(AI52)),3)</f>
        <v>0.35799999999999998</v>
      </c>
      <c r="AO52" s="322"/>
    </row>
    <row r="53" spans="1:41" ht="15.6">
      <c r="A53" s="28"/>
      <c r="B53" s="880" t="s">
        <v>1048</v>
      </c>
      <c r="C53" s="28"/>
      <c r="D53" s="28"/>
      <c r="E53" s="650"/>
      <c r="F53" s="1511"/>
      <c r="G53" s="650"/>
      <c r="H53" s="1511"/>
      <c r="I53" s="650"/>
      <c r="J53" s="1511"/>
      <c r="K53" s="650"/>
      <c r="L53" s="63"/>
      <c r="M53" s="650"/>
      <c r="N53" s="63"/>
      <c r="O53" s="650"/>
      <c r="P53" s="63"/>
      <c r="Q53" s="650"/>
      <c r="R53" s="63"/>
      <c r="S53" s="650"/>
      <c r="T53" s="63"/>
      <c r="U53" s="650"/>
      <c r="V53" s="63"/>
      <c r="W53" s="650"/>
      <c r="X53" s="63"/>
      <c r="Y53" s="650"/>
      <c r="Z53" s="63"/>
      <c r="AA53" s="650"/>
      <c r="AB53" s="167"/>
      <c r="AC53" s="650" t="s">
        <v>14</v>
      </c>
      <c r="AD53" s="63"/>
      <c r="AE53" s="54"/>
      <c r="AF53" s="1068"/>
      <c r="AG53" s="965"/>
      <c r="AH53" s="57"/>
      <c r="AI53" s="3399"/>
      <c r="AJ53" s="74"/>
      <c r="AK53" s="330"/>
      <c r="AL53" s="55"/>
      <c r="AM53" s="328"/>
      <c r="AN53" s="8"/>
      <c r="AO53" s="322"/>
    </row>
    <row r="54" spans="1:41" ht="15.6">
      <c r="A54" s="28"/>
      <c r="B54" s="880" t="s">
        <v>978</v>
      </c>
      <c r="C54" s="28"/>
      <c r="D54" s="28"/>
      <c r="E54" s="650">
        <f>+'Exhibit I State'!E53+'Exhibit I Federal'!E36</f>
        <v>0</v>
      </c>
      <c r="F54" s="1511"/>
      <c r="G54" s="650">
        <f>+'Exhibit I State'!G53+'Exhibit I Federal'!G36</f>
        <v>0</v>
      </c>
      <c r="H54" s="1511"/>
      <c r="I54" s="650">
        <f>+'Exhibit I State'!I53+'Exhibit I Federal'!I36</f>
        <v>0</v>
      </c>
      <c r="J54" s="1511"/>
      <c r="K54" s="650">
        <f>+'Exhibit I State'!K53+'Exhibit I Federal'!K36</f>
        <v>0</v>
      </c>
      <c r="L54" s="63"/>
      <c r="M54" s="650">
        <f>+'Exhibit I State'!M53+'Exhibit I Federal'!M36</f>
        <v>0</v>
      </c>
      <c r="N54" s="63"/>
      <c r="O54" s="650">
        <f>+'Exhibit I State'!O53+'Exhibit I Federal'!O36</f>
        <v>0</v>
      </c>
      <c r="P54" s="63"/>
      <c r="Q54" s="650">
        <f>+'Exhibit I State'!Q53+'Exhibit I Federal'!Q36</f>
        <v>0</v>
      </c>
      <c r="R54" s="63"/>
      <c r="S54" s="650">
        <f>+'Exhibit I State'!S53+'Exhibit I Federal'!S36</f>
        <v>0</v>
      </c>
      <c r="T54" s="63"/>
      <c r="U54" s="650">
        <f>+'Exhibit I State'!U53+'Exhibit I Federal'!U36</f>
        <v>0</v>
      </c>
      <c r="V54" s="63"/>
      <c r="W54" s="650">
        <f>+'Exhibit I State'!W53+'Exhibit I Federal'!W36</f>
        <v>0</v>
      </c>
      <c r="X54" s="63"/>
      <c r="Y54" s="650"/>
      <c r="Z54" s="63"/>
      <c r="AA54" s="650"/>
      <c r="AB54" s="167"/>
      <c r="AC54" s="354">
        <v>0</v>
      </c>
      <c r="AD54" s="115"/>
      <c r="AE54" s="668"/>
      <c r="AF54" s="1068">
        <f t="shared" ref="AF54:AF58" si="2">ROUND(SUM(E54:AC54),1)</f>
        <v>0</v>
      </c>
      <c r="AG54" s="1094"/>
      <c r="AH54" s="65"/>
      <c r="AI54" s="3399">
        <f>+'Exhibit I State'!AG53+'Exhibit I Federal'!AG36</f>
        <v>0</v>
      </c>
      <c r="AJ54" s="74"/>
      <c r="AK54" s="330"/>
      <c r="AL54" s="660">
        <f>ROUND(SUM(+AF54-AI54),1)</f>
        <v>0</v>
      </c>
      <c r="AM54" s="931"/>
      <c r="AN54" s="1410">
        <f>ROUND(IF(AI54=0,0,AL54/ABS(AI54)),3)</f>
        <v>0</v>
      </c>
      <c r="AO54" s="322"/>
    </row>
    <row r="55" spans="1:41" ht="15.6">
      <c r="A55" s="28"/>
      <c r="B55" s="880" t="s">
        <v>980</v>
      </c>
      <c r="C55" s="28"/>
      <c r="D55" s="28"/>
      <c r="E55" s="650">
        <f>+'Exhibit I State'!E54+'Exhibit I Federal'!E37</f>
        <v>1.8</v>
      </c>
      <c r="F55" s="1511"/>
      <c r="G55" s="650">
        <f>+'Exhibit I State'!G54+'Exhibit I Federal'!G37</f>
        <v>1.3</v>
      </c>
      <c r="H55" s="1511"/>
      <c r="I55" s="650">
        <f>+'Exhibit I State'!I54+'Exhibit I Federal'!I37</f>
        <v>2.9000000000000004</v>
      </c>
      <c r="J55" s="1511"/>
      <c r="K55" s="650">
        <f>+'Exhibit I State'!K54+'Exhibit I Federal'!K37</f>
        <v>0.40000000000000036</v>
      </c>
      <c r="L55" s="63"/>
      <c r="M55" s="650">
        <f>+'Exhibit I State'!M54+'Exhibit I Federal'!M37</f>
        <v>0</v>
      </c>
      <c r="N55" s="63"/>
      <c r="O55" s="650">
        <f>+'Exhibit I State'!O54+'Exhibit I Federal'!O37</f>
        <v>1.1999999999999993</v>
      </c>
      <c r="P55" s="63"/>
      <c r="Q55" s="650">
        <f>+'Exhibit I State'!Q54+'Exhibit I Federal'!Q37</f>
        <v>5.2999999999999989</v>
      </c>
      <c r="R55" s="63"/>
      <c r="S55" s="650">
        <f>+'Exhibit I State'!S54+'Exhibit I Federal'!S37</f>
        <v>0.40000000000000036</v>
      </c>
      <c r="T55" s="63"/>
      <c r="U55" s="650">
        <f>+'Exhibit I State'!U54+'Exhibit I Federal'!U37</f>
        <v>3.0999999999999979</v>
      </c>
      <c r="V55" s="63"/>
      <c r="W55" s="650">
        <f>+'Exhibit I State'!W54+'Exhibit I Federal'!W37</f>
        <v>5</v>
      </c>
      <c r="X55" s="63"/>
      <c r="Y55" s="650"/>
      <c r="Z55" s="63"/>
      <c r="AA55" s="650"/>
      <c r="AB55" s="167"/>
      <c r="AC55" s="354">
        <v>0</v>
      </c>
      <c r="AD55" s="115"/>
      <c r="AE55" s="668"/>
      <c r="AF55" s="1068">
        <f t="shared" si="2"/>
        <v>21.4</v>
      </c>
      <c r="AG55" s="1094"/>
      <c r="AH55" s="65"/>
      <c r="AI55" s="3399">
        <f>+'Exhibit I State'!AG54+'Exhibit I Federal'!AG37</f>
        <v>12.4</v>
      </c>
      <c r="AJ55" s="74"/>
      <c r="AK55" s="330"/>
      <c r="AL55" s="660">
        <f>ROUND(SUM(+AF55-AI55),1)</f>
        <v>9</v>
      </c>
      <c r="AM55" s="931"/>
      <c r="AN55" s="1449">
        <f>ROUND(IF(AI55=0,1,AL55/ABS(AI55)),3)</f>
        <v>0.72599999999999998</v>
      </c>
      <c r="AO55" s="322"/>
    </row>
    <row r="56" spans="1:41" ht="15.6">
      <c r="A56" s="28"/>
      <c r="B56" s="880" t="s">
        <v>981</v>
      </c>
      <c r="C56" s="28"/>
      <c r="D56" s="28"/>
      <c r="E56" s="650">
        <f>+'Exhibit I State'!E55+'Exhibit I Federal'!E38</f>
        <v>0</v>
      </c>
      <c r="F56" s="1511"/>
      <c r="G56" s="650">
        <f>+'Exhibit I State'!G55+'Exhibit I Federal'!G38</f>
        <v>0</v>
      </c>
      <c r="H56" s="1511"/>
      <c r="I56" s="650">
        <f>+'Exhibit I State'!I55+'Exhibit I Federal'!I38</f>
        <v>0</v>
      </c>
      <c r="J56" s="1511"/>
      <c r="K56" s="650">
        <f>+'Exhibit I State'!K55+'Exhibit I Federal'!K38</f>
        <v>0</v>
      </c>
      <c r="L56" s="63"/>
      <c r="M56" s="650">
        <f>+'Exhibit I State'!M55+'Exhibit I Federal'!M38</f>
        <v>0</v>
      </c>
      <c r="N56" s="63"/>
      <c r="O56" s="650">
        <f>+'Exhibit I State'!O55+'Exhibit I Federal'!O38</f>
        <v>12.700000000000001</v>
      </c>
      <c r="P56" s="63"/>
      <c r="Q56" s="650">
        <f>+'Exhibit I State'!Q55+'Exhibit I Federal'!Q38</f>
        <v>5.0999999999999979</v>
      </c>
      <c r="R56" s="63"/>
      <c r="S56" s="650">
        <f>+'Exhibit I State'!S55+'Exhibit I Federal'!S38</f>
        <v>17.000000000000004</v>
      </c>
      <c r="T56" s="63"/>
      <c r="U56" s="650">
        <f>+'Exhibit I State'!U55+'Exhibit I Federal'!U38</f>
        <v>5.6999999999999975</v>
      </c>
      <c r="V56" s="63"/>
      <c r="W56" s="650">
        <f>+'Exhibit I State'!W55+'Exhibit I Federal'!W38</f>
        <v>6.7999999999999989</v>
      </c>
      <c r="X56" s="63"/>
      <c r="Y56" s="650"/>
      <c r="Z56" s="63"/>
      <c r="AA56" s="650"/>
      <c r="AB56" s="167"/>
      <c r="AC56" s="354">
        <v>0</v>
      </c>
      <c r="AD56" s="115"/>
      <c r="AE56" s="668"/>
      <c r="AF56" s="1068">
        <f t="shared" si="2"/>
        <v>47.3</v>
      </c>
      <c r="AG56" s="2172"/>
      <c r="AH56" s="65"/>
      <c r="AI56" s="3399">
        <f>+'Exhibit I State'!AG55+'Exhibit I Federal'!AG38</f>
        <v>0</v>
      </c>
      <c r="AJ56" s="74"/>
      <c r="AK56" s="330"/>
      <c r="AL56" s="660">
        <f>ROUND(SUM(+AF56-AI56),1)</f>
        <v>47.3</v>
      </c>
      <c r="AM56" s="931"/>
      <c r="AN56" s="1410">
        <f>ROUND(IF(AI56=0,1,AL56/ABS(AI56)),3)</f>
        <v>1</v>
      </c>
      <c r="AO56" s="322"/>
    </row>
    <row r="57" spans="1:41" ht="15.6">
      <c r="A57" s="28"/>
      <c r="B57" s="880" t="s">
        <v>983</v>
      </c>
      <c r="C57" s="28"/>
      <c r="D57" s="28"/>
      <c r="E57" s="650">
        <f>+'Exhibit I State'!E56</f>
        <v>0</v>
      </c>
      <c r="F57" s="1511"/>
      <c r="G57" s="650">
        <f>+'Exhibit I State'!G56</f>
        <v>0</v>
      </c>
      <c r="H57" s="1511"/>
      <c r="I57" s="650">
        <f>+'Exhibit I State'!I56</f>
        <v>0</v>
      </c>
      <c r="J57" s="1511"/>
      <c r="K57" s="650">
        <f>+'Exhibit I State'!K56</f>
        <v>0.1</v>
      </c>
      <c r="L57" s="63"/>
      <c r="M57" s="650">
        <f>+'Exhibit I State'!M56</f>
        <v>-0.1</v>
      </c>
      <c r="N57" s="63"/>
      <c r="O57" s="650">
        <f>+'Exhibit I State'!O56</f>
        <v>0</v>
      </c>
      <c r="P57" s="63"/>
      <c r="Q57" s="650">
        <f>+'Exhibit I State'!Q56</f>
        <v>0.1</v>
      </c>
      <c r="R57" s="63"/>
      <c r="S57" s="650">
        <f>+'Exhibit I State'!S56</f>
        <v>0</v>
      </c>
      <c r="T57" s="63"/>
      <c r="U57" s="650">
        <f>+'Exhibit I State'!U56</f>
        <v>0</v>
      </c>
      <c r="V57" s="63"/>
      <c r="W57" s="650">
        <f>+'Exhibit I State'!W56</f>
        <v>0</v>
      </c>
      <c r="X57" s="63"/>
      <c r="Y57" s="650"/>
      <c r="Z57" s="63"/>
      <c r="AA57" s="650"/>
      <c r="AB57" s="167"/>
      <c r="AC57" s="354">
        <v>0</v>
      </c>
      <c r="AD57" s="115"/>
      <c r="AE57" s="668"/>
      <c r="AF57" s="1068">
        <f t="shared" si="2"/>
        <v>0.1</v>
      </c>
      <c r="AG57" s="2173"/>
      <c r="AH57" s="65"/>
      <c r="AI57" s="3399">
        <f>+'Exhibit I State'!AG56</f>
        <v>0</v>
      </c>
      <c r="AJ57" s="74"/>
      <c r="AK57" s="330"/>
      <c r="AL57" s="660">
        <f>ROUND(SUM(+AF57-AI57),1)</f>
        <v>0.1</v>
      </c>
      <c r="AM57" s="931"/>
      <c r="AN57" s="1410">
        <f>ROUND(IF(AI57=0,1,AL57/ABS(AI57)),3)</f>
        <v>1</v>
      </c>
      <c r="AO57" s="322"/>
    </row>
    <row r="58" spans="1:41" ht="15.6">
      <c r="A58" s="28"/>
      <c r="B58" s="880" t="s">
        <v>984</v>
      </c>
      <c r="C58" s="28"/>
      <c r="D58" s="28"/>
      <c r="E58" s="650">
        <f>+'Exhibit I State'!E57+'Exhibit I Federal'!E39</f>
        <v>0.3</v>
      </c>
      <c r="F58" s="1511"/>
      <c r="G58" s="650">
        <f>+'Exhibit I State'!G57+'Exhibit I Federal'!G39</f>
        <v>1.3</v>
      </c>
      <c r="H58" s="1511"/>
      <c r="I58" s="650">
        <f>+'Exhibit I State'!I57+'Exhibit I Federal'!I39</f>
        <v>1.6000000000000003</v>
      </c>
      <c r="J58" s="1511"/>
      <c r="K58" s="650">
        <f>+'Exhibit I State'!K57+'Exhibit I Federal'!K39</f>
        <v>5.8999999999999986</v>
      </c>
      <c r="L58" s="63"/>
      <c r="M58" s="650">
        <f>+'Exhibit I State'!M57+'Exhibit I Federal'!M39</f>
        <v>1.8999999999999995</v>
      </c>
      <c r="N58" s="63"/>
      <c r="O58" s="650">
        <f>+'Exhibit I State'!O57+'Exhibit I Federal'!O39</f>
        <v>4.1000000000000005</v>
      </c>
      <c r="P58" s="63"/>
      <c r="Q58" s="650">
        <f>+'Exhibit I State'!Q57+'Exhibit I Federal'!Q39</f>
        <v>1.0999999999999996</v>
      </c>
      <c r="R58" s="63"/>
      <c r="S58" s="650">
        <f>+'Exhibit I State'!S57+'Exhibit I Federal'!S39</f>
        <v>7.9</v>
      </c>
      <c r="T58" s="63"/>
      <c r="U58" s="650">
        <f>+'Exhibit I State'!U57+'Exhibit I Federal'!U39</f>
        <v>1</v>
      </c>
      <c r="V58" s="63"/>
      <c r="W58" s="650">
        <f>+'Exhibit I State'!W57+'Exhibit I Federal'!W39</f>
        <v>9.9999999999997868E-2</v>
      </c>
      <c r="X58" s="63"/>
      <c r="Y58" s="650"/>
      <c r="Z58" s="63"/>
      <c r="AA58" s="650"/>
      <c r="AB58" s="167"/>
      <c r="AC58" s="354">
        <v>0</v>
      </c>
      <c r="AD58" s="115"/>
      <c r="AE58" s="668"/>
      <c r="AF58" s="1068">
        <f t="shared" si="2"/>
        <v>25.2</v>
      </c>
      <c r="AG58" s="1094"/>
      <c r="AH58" s="65"/>
      <c r="AI58" s="3399">
        <f>+'Exhibit I State'!AG57+'Exhibit I Federal'!AG39</f>
        <v>11.1</v>
      </c>
      <c r="AJ58" s="74"/>
      <c r="AK58" s="330"/>
      <c r="AL58" s="55">
        <f t="shared" si="0"/>
        <v>14.1</v>
      </c>
      <c r="AM58" s="328"/>
      <c r="AN58" s="1856">
        <f>ROUND(IF(AI58=0,1,AL58/ABS(AI58)),3)</f>
        <v>1.27</v>
      </c>
      <c r="AO58" s="322"/>
    </row>
    <row r="59" spans="1:41" ht="15.6">
      <c r="A59" s="28"/>
      <c r="B59" s="880" t="s">
        <v>986</v>
      </c>
      <c r="C59" s="28"/>
      <c r="D59" s="28"/>
      <c r="E59" s="650">
        <f>+'Exhibit I State'!E58+'Exhibit I Federal'!E40</f>
        <v>2.4</v>
      </c>
      <c r="F59" s="1511"/>
      <c r="G59" s="650">
        <f>+'Exhibit I State'!G58+'Exhibit I Federal'!G40</f>
        <v>1.9</v>
      </c>
      <c r="H59" s="1511"/>
      <c r="I59" s="650">
        <f>+'Exhibit I State'!I58+'Exhibit I Federal'!I40</f>
        <v>11.7</v>
      </c>
      <c r="J59" s="1511"/>
      <c r="K59" s="650">
        <f>+'Exhibit I State'!K58+'Exhibit I Federal'!K40</f>
        <v>1</v>
      </c>
      <c r="L59" s="63"/>
      <c r="M59" s="650">
        <f>+'Exhibit I State'!M58+'Exhibit I Federal'!M40</f>
        <v>6.5000000000000036</v>
      </c>
      <c r="N59" s="63"/>
      <c r="O59" s="650">
        <f>+'Exhibit I State'!O58+'Exhibit I Federal'!O40</f>
        <v>4.3999999999999986</v>
      </c>
      <c r="P59" s="63"/>
      <c r="Q59" s="650">
        <f>+'Exhibit I State'!Q58+'Exhibit I Federal'!Q40</f>
        <v>1.2000000000000028</v>
      </c>
      <c r="R59" s="63"/>
      <c r="S59" s="650">
        <f>+'Exhibit I State'!S58+'Exhibit I Federal'!S40</f>
        <v>2.0999999999999979</v>
      </c>
      <c r="T59" s="63"/>
      <c r="U59" s="650">
        <f>+'Exhibit I State'!U58+'Exhibit I Federal'!U40</f>
        <v>1.3000000000000007</v>
      </c>
      <c r="V59" s="63"/>
      <c r="W59" s="650">
        <f>+'Exhibit I State'!W58+'Exhibit I Federal'!W40</f>
        <v>1.3999999999999986</v>
      </c>
      <c r="X59" s="63"/>
      <c r="Y59" s="650"/>
      <c r="Z59" s="63"/>
      <c r="AA59" s="650"/>
      <c r="AB59" s="167"/>
      <c r="AC59" s="354">
        <v>0</v>
      </c>
      <c r="AD59" s="115"/>
      <c r="AE59" s="668"/>
      <c r="AF59" s="1068">
        <f>ROUND(SUM(E59:AC59),1)</f>
        <v>33.9</v>
      </c>
      <c r="AG59" s="1094"/>
      <c r="AH59" s="65"/>
      <c r="AI59" s="3401">
        <f>+'Exhibit I State'!AG58+'Exhibit I Federal'!AG40</f>
        <v>22.7</v>
      </c>
      <c r="AJ59" s="74"/>
      <c r="AK59" s="330"/>
      <c r="AL59" s="55">
        <f t="shared" si="0"/>
        <v>11.2</v>
      </c>
      <c r="AM59" s="328"/>
      <c r="AN59" s="1355">
        <f>ROUND(IF(AI59=0,0,AL59/ABS(AI59)),3)</f>
        <v>0.49299999999999999</v>
      </c>
      <c r="AO59" s="322"/>
    </row>
    <row r="60" spans="1:41" ht="15.6">
      <c r="A60" s="28"/>
      <c r="B60" s="880" t="s">
        <v>959</v>
      </c>
      <c r="C60" s="28"/>
      <c r="D60" s="28"/>
      <c r="E60" s="650">
        <f>+'Exhibit I State'!E59+'Exhibit I Federal'!E41</f>
        <v>0.1</v>
      </c>
      <c r="F60" s="1511"/>
      <c r="G60" s="650">
        <f>+'Exhibit I State'!G59+'Exhibit I Federal'!G41</f>
        <v>0</v>
      </c>
      <c r="H60" s="1511"/>
      <c r="I60" s="650">
        <f>+'Exhibit I State'!I59+'Exhibit I Federal'!I41</f>
        <v>0</v>
      </c>
      <c r="J60" s="1511"/>
      <c r="K60" s="650">
        <f>+'Exhibit I State'!K59+'Exhibit I Federal'!K41</f>
        <v>0</v>
      </c>
      <c r="L60" s="63"/>
      <c r="M60" s="650">
        <f>+'Exhibit I State'!M59+'Exhibit I Federal'!M41</f>
        <v>0.1</v>
      </c>
      <c r="N60" s="63"/>
      <c r="O60" s="650">
        <f>+'Exhibit I State'!O59+'Exhibit I Federal'!O41</f>
        <v>9.9999999999999978E-2</v>
      </c>
      <c r="P60" s="63"/>
      <c r="Q60" s="650">
        <f>+'Exhibit I State'!Q59+'Exhibit I Federal'!Q41</f>
        <v>6.3000000000000007</v>
      </c>
      <c r="R60" s="63"/>
      <c r="S60" s="650">
        <f>+'Exhibit I State'!S59+'Exhibit I Federal'!S41</f>
        <v>0</v>
      </c>
      <c r="T60" s="63"/>
      <c r="U60" s="650">
        <f>+'Exhibit I State'!U59+'Exhibit I Federal'!U41</f>
        <v>0</v>
      </c>
      <c r="V60" s="63"/>
      <c r="W60" s="650">
        <f>+'Exhibit I State'!W59+'Exhibit I Federal'!W41</f>
        <v>0</v>
      </c>
      <c r="X60" s="63"/>
      <c r="Y60" s="650"/>
      <c r="Z60" s="63"/>
      <c r="AA60" s="650"/>
      <c r="AB60" s="167"/>
      <c r="AC60" s="354">
        <v>0</v>
      </c>
      <c r="AD60" s="115"/>
      <c r="AE60" s="668"/>
      <c r="AF60" s="1068">
        <f>ROUND(SUM(E60:AC60),1)</f>
        <v>6.6</v>
      </c>
      <c r="AG60" s="1094"/>
      <c r="AH60" s="65"/>
      <c r="AI60" s="3399">
        <f>+'Exhibit I State'!AG59+'Exhibit I Federal'!AG41</f>
        <v>0.30000000000000004</v>
      </c>
      <c r="AJ60" s="74"/>
      <c r="AK60" s="330"/>
      <c r="AL60" s="55">
        <f t="shared" si="0"/>
        <v>6.3</v>
      </c>
      <c r="AM60" s="328"/>
      <c r="AN60" s="1463">
        <f>ROUND(IF(AI60=0,1,AL60/ABS(AI60)),3)</f>
        <v>21</v>
      </c>
      <c r="AO60" s="322"/>
    </row>
    <row r="61" spans="1:41" s="327" customFormat="1" ht="15.6">
      <c r="A61" s="26"/>
      <c r="B61" s="307" t="s">
        <v>1087</v>
      </c>
      <c r="C61" s="26"/>
      <c r="D61" s="26"/>
      <c r="E61" s="255">
        <f>ROUND(SUM(E37:E60),1)</f>
        <v>181.3</v>
      </c>
      <c r="F61" s="910"/>
      <c r="G61" s="255">
        <f>ROUND(SUM(G37:G60),1)</f>
        <v>90.5</v>
      </c>
      <c r="H61" s="1053"/>
      <c r="I61" s="255">
        <f>ROUND(SUM(I37:I60),1)</f>
        <v>117.4</v>
      </c>
      <c r="J61" s="910"/>
      <c r="K61" s="255">
        <f>ROUND(SUM(K37:K60),1)</f>
        <v>322.2</v>
      </c>
      <c r="L61" s="910"/>
      <c r="M61" s="255">
        <f>ROUND(SUM(M37:M60),1)</f>
        <v>114.5</v>
      </c>
      <c r="N61" s="910"/>
      <c r="O61" s="255">
        <f>ROUND(SUM(O37:O60),1)</f>
        <v>436.7</v>
      </c>
      <c r="P61" s="910"/>
      <c r="Q61" s="255">
        <f>ROUND(SUM(Q37:Q60),1)</f>
        <v>1073.9000000000001</v>
      </c>
      <c r="R61" s="910"/>
      <c r="S61" s="1519">
        <f>ROUND(SUM(S37:S60),1)</f>
        <v>94.5</v>
      </c>
      <c r="T61" s="910"/>
      <c r="U61" s="1519">
        <f>ROUND(SUM(U37:U60),1)</f>
        <v>670.9</v>
      </c>
      <c r="V61" s="910"/>
      <c r="W61" s="1519">
        <f>ROUND(SUM(W37:W60),1)</f>
        <v>192.9</v>
      </c>
      <c r="X61" s="910"/>
      <c r="Y61" s="255">
        <f>ROUND(SUM(Y37:Y60),1)</f>
        <v>0</v>
      </c>
      <c r="Z61" s="910"/>
      <c r="AA61" s="255">
        <f>ROUND(SUM(AA37:AA60),1)</f>
        <v>0</v>
      </c>
      <c r="AB61" s="1512"/>
      <c r="AC61" s="1519">
        <f>ROUND(SUM(AC37:AC60),1)</f>
        <v>0</v>
      </c>
      <c r="AD61" s="109"/>
      <c r="AE61" s="669"/>
      <c r="AF61" s="1519">
        <f>ROUND(SUM(AF37:AF60),1)</f>
        <v>3294.8</v>
      </c>
      <c r="AG61" s="1074"/>
      <c r="AH61" s="112"/>
      <c r="AI61" s="1519">
        <f>ROUND(SUM(AI37:AI60),1)</f>
        <v>4838.8</v>
      </c>
      <c r="AJ61" s="81"/>
      <c r="AK61" s="330"/>
      <c r="AL61" s="255">
        <f>ROUND(SUM(AL37:AL60),1)</f>
        <v>-1544</v>
      </c>
      <c r="AM61" s="1054"/>
      <c r="AN61" s="1055">
        <f>ROUND(SUM(AL61/AI61),3)</f>
        <v>-0.31900000000000001</v>
      </c>
    </row>
    <row r="62" spans="1:41" ht="15.6">
      <c r="A62" s="28"/>
      <c r="B62" s="307"/>
      <c r="C62" s="28"/>
      <c r="D62" s="28"/>
      <c r="E62" s="1511"/>
      <c r="F62" s="1511"/>
      <c r="G62" s="1511"/>
      <c r="H62" s="676"/>
      <c r="I62" s="1511"/>
      <c r="J62" s="1511"/>
      <c r="K62" s="1511"/>
      <c r="L62" s="63"/>
      <c r="M62" s="1511"/>
      <c r="N62" s="63"/>
      <c r="O62" s="1511"/>
      <c r="P62" s="63"/>
      <c r="Q62" s="1511"/>
      <c r="R62" s="63"/>
      <c r="S62" s="883"/>
      <c r="T62" s="63"/>
      <c r="U62" s="883"/>
      <c r="V62" s="63"/>
      <c r="W62" s="883"/>
      <c r="X62" s="63"/>
      <c r="Y62" s="1511"/>
      <c r="Z62" s="63"/>
      <c r="AA62" s="1511"/>
      <c r="AB62" s="1511"/>
      <c r="AC62" s="883"/>
      <c r="AD62" s="115"/>
      <c r="AE62" s="668"/>
      <c r="AF62" s="1068"/>
      <c r="AG62" s="1073"/>
      <c r="AH62" s="64"/>
      <c r="AI62" s="115"/>
      <c r="AJ62" s="74"/>
      <c r="AK62" s="330"/>
      <c r="AL62" s="55"/>
      <c r="AM62" s="331"/>
      <c r="AN62" s="329"/>
    </row>
    <row r="63" spans="1:41" ht="15.6">
      <c r="A63" s="28"/>
      <c r="B63" s="28" t="s">
        <v>148</v>
      </c>
      <c r="C63" s="28"/>
      <c r="D63" s="28"/>
      <c r="E63" s="676">
        <f>+'Exhibit I State'!E62+'Exhibit I Federal'!E44</f>
        <v>5.6</v>
      </c>
      <c r="F63" s="1511"/>
      <c r="G63" s="676">
        <f>+'Exhibit I State'!G62+'Exhibit I Federal'!G44</f>
        <v>23.299999999999997</v>
      </c>
      <c r="H63" s="1511"/>
      <c r="I63" s="676">
        <f>+'Exhibit I State'!I62+'Exhibit I Federal'!I44</f>
        <v>110.10000000000001</v>
      </c>
      <c r="J63" s="1511"/>
      <c r="K63" s="676">
        <f>+'Exhibit I State'!K62+'Exhibit I Federal'!K44</f>
        <v>143.19999999999993</v>
      </c>
      <c r="L63" s="63"/>
      <c r="M63" s="676">
        <f>+'Exhibit I State'!M62+'Exhibit I Federal'!M44</f>
        <v>169.40000000000003</v>
      </c>
      <c r="N63" s="63"/>
      <c r="O63" s="676">
        <f>+'Exhibit I State'!O62+'Exhibit I Federal'!O44</f>
        <v>139.89999999999998</v>
      </c>
      <c r="P63" s="63"/>
      <c r="Q63" s="676">
        <f>+'Exhibit I State'!Q62+'Exhibit I Federal'!Q44</f>
        <v>129.3000000000001</v>
      </c>
      <c r="R63" s="63"/>
      <c r="S63" s="676">
        <f>+'Exhibit I State'!S62+'Exhibit I Federal'!S44</f>
        <v>314.2000000000001</v>
      </c>
      <c r="T63" s="63"/>
      <c r="U63" s="676">
        <f>+'Exhibit I State'!U62+'Exhibit I Federal'!U44</f>
        <v>351.30000000000024</v>
      </c>
      <c r="V63" s="63"/>
      <c r="W63" s="676">
        <f>+'Exhibit I State'!W62+'Exhibit I Federal'!W44</f>
        <v>177.99999999999994</v>
      </c>
      <c r="X63" s="63"/>
      <c r="Y63" s="3513"/>
      <c r="Z63" s="63"/>
      <c r="AA63" s="3513"/>
      <c r="AB63" s="274"/>
      <c r="AC63" s="1068">
        <v>0</v>
      </c>
      <c r="AD63" s="115"/>
      <c r="AE63" s="668"/>
      <c r="AF63" s="115">
        <f>ROUND(SUM(E63:AC63),1)</f>
        <v>1564.3</v>
      </c>
      <c r="AG63" s="1069"/>
      <c r="AH63" s="64"/>
      <c r="AI63" s="115">
        <f>+'Exhibit I State'!AG62+'Exhibit I Federal'!AG44</f>
        <v>1673</v>
      </c>
      <c r="AJ63" s="74"/>
      <c r="AK63" s="332"/>
      <c r="AL63" s="333">
        <f>ROUND(SUM(+AF63-AI63),1)</f>
        <v>-108.7</v>
      </c>
      <c r="AM63" s="331"/>
      <c r="AN63" s="334">
        <f>ROUND(SUM(AL63/AI63),3)</f>
        <v>-6.5000000000000002E-2</v>
      </c>
    </row>
    <row r="64" spans="1:41" ht="15.6">
      <c r="A64" s="28"/>
      <c r="B64" s="28"/>
      <c r="C64" s="28"/>
      <c r="D64" s="28"/>
      <c r="E64" s="677"/>
      <c r="F64" s="1511"/>
      <c r="G64" s="677"/>
      <c r="H64" s="1511"/>
      <c r="I64" s="677"/>
      <c r="J64" s="1511"/>
      <c r="K64" s="677"/>
      <c r="L64" s="63"/>
      <c r="M64" s="677"/>
      <c r="N64" s="63"/>
      <c r="O64" s="677"/>
      <c r="P64" s="63"/>
      <c r="Q64" s="677"/>
      <c r="R64" s="63"/>
      <c r="S64" s="123"/>
      <c r="T64" s="63"/>
      <c r="U64" s="123"/>
      <c r="V64" s="63"/>
      <c r="W64" s="123"/>
      <c r="X64" s="63"/>
      <c r="Y64" s="85"/>
      <c r="Z64" s="63"/>
      <c r="AA64" s="85"/>
      <c r="AB64" s="53"/>
      <c r="AC64" s="123"/>
      <c r="AD64" s="115"/>
      <c r="AE64" s="668"/>
      <c r="AF64" s="123"/>
      <c r="AG64" s="1069"/>
      <c r="AH64" s="64"/>
      <c r="AI64" s="123"/>
      <c r="AJ64" s="53"/>
      <c r="AK64" s="332"/>
      <c r="AL64" s="55"/>
      <c r="AM64" s="322"/>
      <c r="AN64" s="329"/>
    </row>
    <row r="65" spans="1:44" ht="15.6">
      <c r="A65" s="28"/>
      <c r="B65" s="26" t="s">
        <v>195</v>
      </c>
      <c r="C65" s="28"/>
      <c r="D65" s="28"/>
      <c r="E65" s="1820">
        <f>ROUND(SUM(+E61+E63+E33),1)</f>
        <v>271.7</v>
      </c>
      <c r="F65" s="910"/>
      <c r="G65" s="1820">
        <f>ROUND(SUM(+G61+G63+G33),1)</f>
        <v>206.4</v>
      </c>
      <c r="H65" s="910"/>
      <c r="I65" s="1820">
        <f>ROUND(SUM(+I61+I63+I33),1)</f>
        <v>358.6</v>
      </c>
      <c r="J65" s="910"/>
      <c r="K65" s="1820">
        <f>ROUND(SUM(+K61+K63+K33),1)</f>
        <v>578.29999999999995</v>
      </c>
      <c r="L65" s="59"/>
      <c r="M65" s="1820">
        <f>ROUND(SUM(+M61+M63+M33),1)</f>
        <v>398.9</v>
      </c>
      <c r="N65" s="59"/>
      <c r="O65" s="1820">
        <f>ROUND(SUM(+O61+O63+O33),1)</f>
        <v>708</v>
      </c>
      <c r="P65" s="59"/>
      <c r="Q65" s="1820">
        <f>ROUND(SUM(+Q61+Q63+Q33),1)</f>
        <v>1314.2</v>
      </c>
      <c r="R65" s="59"/>
      <c r="S65" s="309">
        <f>ROUND(SUM(+S61+S63+S33),1)</f>
        <v>508.5</v>
      </c>
      <c r="T65" s="59"/>
      <c r="U65" s="309">
        <f>ROUND(SUM(+U61+U63+U33),1)</f>
        <v>1152</v>
      </c>
      <c r="V65" s="59"/>
      <c r="W65" s="309">
        <f>ROUND(SUM(+W61+W63+W33),1)</f>
        <v>466.2</v>
      </c>
      <c r="X65" s="59"/>
      <c r="Y65" s="309">
        <f>ROUND(SUM(+Y61+Y63+Y33),1)</f>
        <v>0</v>
      </c>
      <c r="Z65" s="59"/>
      <c r="AA65" s="309">
        <f>ROUND(SUM(+AA61+AA63+AA33),1)</f>
        <v>0</v>
      </c>
      <c r="AB65" s="1043"/>
      <c r="AC65" s="309">
        <f>ROUND(SUM(+AC61+AC63+AC33),1)</f>
        <v>0</v>
      </c>
      <c r="AD65" s="59"/>
      <c r="AE65" s="61"/>
      <c r="AF65" s="309">
        <f>ROUND(SUM(+AF61+AF63+AF33),1)</f>
        <v>5962.8</v>
      </c>
      <c r="AG65" s="213"/>
      <c r="AH65" s="73"/>
      <c r="AI65" s="309">
        <f>ROUND(SUM(+AI61+AI63+AI33),1)</f>
        <v>7498.3</v>
      </c>
      <c r="AJ65" s="81"/>
      <c r="AK65" s="332"/>
      <c r="AL65" s="309">
        <f>ROUND(SUM(+AL61+AL63+AL33),1)</f>
        <v>-1535.5</v>
      </c>
      <c r="AM65" s="163"/>
      <c r="AN65" s="888">
        <f>ROUND(SUM(AL65/AI65),3)</f>
        <v>-0.20499999999999999</v>
      </c>
      <c r="AO65" s="327"/>
      <c r="AP65" s="335"/>
      <c r="AQ65" s="327"/>
      <c r="AR65" s="327"/>
    </row>
    <row r="66" spans="1:44" ht="15.6">
      <c r="A66" s="28"/>
      <c r="B66" s="28"/>
      <c r="C66" s="28"/>
      <c r="D66" s="28"/>
      <c r="E66" s="677"/>
      <c r="F66" s="1511"/>
      <c r="G66" s="677"/>
      <c r="H66" s="1511"/>
      <c r="I66" s="677"/>
      <c r="J66" s="1511"/>
      <c r="K66" s="677"/>
      <c r="L66" s="63"/>
      <c r="M66" s="677"/>
      <c r="N66" s="63"/>
      <c r="O66" s="677"/>
      <c r="P66" s="63"/>
      <c r="Q66" s="677"/>
      <c r="R66" s="63"/>
      <c r="S66" s="123"/>
      <c r="T66" s="63"/>
      <c r="U66" s="123"/>
      <c r="V66" s="63"/>
      <c r="W66" s="123"/>
      <c r="X66" s="63"/>
      <c r="Y66" s="85"/>
      <c r="Z66" s="63"/>
      <c r="AA66" s="85"/>
      <c r="AB66" s="53"/>
      <c r="AC66" s="85"/>
      <c r="AD66" s="63"/>
      <c r="AE66" s="54"/>
      <c r="AF66" s="123"/>
      <c r="AG66" s="76"/>
      <c r="AH66" s="53"/>
      <c r="AI66" s="123"/>
      <c r="AJ66" s="53"/>
      <c r="AK66" s="332"/>
      <c r="AL66" s="55"/>
      <c r="AM66" s="322"/>
      <c r="AN66" s="329"/>
    </row>
    <row r="67" spans="1:44" ht="15.6">
      <c r="A67" s="28"/>
      <c r="B67" s="26" t="s">
        <v>22</v>
      </c>
      <c r="C67" s="28"/>
      <c r="D67" s="28"/>
      <c r="E67" s="1511"/>
      <c r="F67" s="1511"/>
      <c r="G67" s="1511"/>
      <c r="H67" s="1511"/>
      <c r="I67" s="1511"/>
      <c r="J67" s="1511"/>
      <c r="K67" s="1511"/>
      <c r="L67" s="63"/>
      <c r="M67" s="1511"/>
      <c r="N67" s="63"/>
      <c r="O67" s="1511"/>
      <c r="P67" s="63"/>
      <c r="Q67" s="1511"/>
      <c r="R67" s="63"/>
      <c r="S67" s="115"/>
      <c r="T67" s="63"/>
      <c r="U67" s="115"/>
      <c r="V67" s="63"/>
      <c r="W67" s="115"/>
      <c r="X67" s="63"/>
      <c r="Y67" s="63"/>
      <c r="Z67" s="63"/>
      <c r="AA67" s="63"/>
      <c r="AB67" s="63"/>
      <c r="AC67" s="63"/>
      <c r="AD67" s="63"/>
      <c r="AE67" s="54"/>
      <c r="AF67" s="115"/>
      <c r="AG67" s="76"/>
      <c r="AH67" s="53"/>
      <c r="AI67" s="115"/>
      <c r="AJ67" s="63"/>
      <c r="AK67" s="332"/>
      <c r="AL67" s="55"/>
      <c r="AM67" s="322"/>
      <c r="AN67" s="329"/>
    </row>
    <row r="68" spans="1:44" ht="15.6">
      <c r="A68" s="28"/>
      <c r="B68" s="28" t="s">
        <v>150</v>
      </c>
      <c r="C68" s="28"/>
      <c r="D68" s="28"/>
      <c r="E68" s="1511"/>
      <c r="F68" s="1511"/>
      <c r="G68" s="1511"/>
      <c r="H68" s="1511"/>
      <c r="I68" s="1511"/>
      <c r="J68" s="1511"/>
      <c r="K68" s="1511"/>
      <c r="L68" s="63"/>
      <c r="M68" s="1511"/>
      <c r="N68" s="63"/>
      <c r="O68" s="1511"/>
      <c r="P68" s="63"/>
      <c r="Q68" s="1511"/>
      <c r="R68" s="63"/>
      <c r="S68" s="115"/>
      <c r="T68" s="63"/>
      <c r="U68" s="115"/>
      <c r="V68" s="63"/>
      <c r="W68" s="115"/>
      <c r="X68" s="63"/>
      <c r="Y68" s="1511" t="s">
        <v>14</v>
      </c>
      <c r="Z68" s="63"/>
      <c r="AA68" s="1511" t="s">
        <v>14</v>
      </c>
      <c r="AB68" s="63"/>
      <c r="AC68" s="63"/>
      <c r="AD68" s="63"/>
      <c r="AE68" s="54"/>
      <c r="AF68" s="116"/>
      <c r="AG68" s="76"/>
      <c r="AH68" s="53"/>
      <c r="AI68" s="115"/>
      <c r="AJ68" s="63"/>
      <c r="AK68" s="332"/>
      <c r="AL68" s="55"/>
      <c r="AM68" s="322"/>
      <c r="AN68" s="329"/>
    </row>
    <row r="69" spans="1:44" ht="15.6">
      <c r="A69" s="28"/>
      <c r="B69" s="28" t="s">
        <v>24</v>
      </c>
      <c r="C69" s="28"/>
      <c r="D69" s="28"/>
      <c r="E69" s="676">
        <f>+'Exhibit I State'!E68+'Exhibit I Federal'!E50</f>
        <v>13.5</v>
      </c>
      <c r="F69" s="1511"/>
      <c r="G69" s="676">
        <f>+'Exhibit I State'!G68+'Exhibit I Federal'!G50</f>
        <v>25</v>
      </c>
      <c r="H69" s="676"/>
      <c r="I69" s="676">
        <f>+'Exhibit I State'!I68+'Exhibit I Federal'!I50</f>
        <v>45.5</v>
      </c>
      <c r="J69" s="1511"/>
      <c r="K69" s="676">
        <f>+'Exhibit I State'!K68+'Exhibit I Federal'!K50</f>
        <v>13</v>
      </c>
      <c r="L69" s="63"/>
      <c r="M69" s="676">
        <f>+'Exhibit I State'!M68+'Exhibit I Federal'!M50</f>
        <v>10.400000000000006</v>
      </c>
      <c r="N69" s="63"/>
      <c r="O69" s="676">
        <f>+'Exhibit I State'!O68+'Exhibit I Federal'!O50</f>
        <v>8.2999999999999972</v>
      </c>
      <c r="P69" s="63"/>
      <c r="Q69" s="676">
        <f>+'Exhibit I State'!Q68+'Exhibit I Federal'!Q50</f>
        <v>15.200000000000003</v>
      </c>
      <c r="R69" s="63"/>
      <c r="S69" s="676">
        <f>+'Exhibit I State'!S68+'Exhibit I Federal'!S50</f>
        <v>0.90000000000000568</v>
      </c>
      <c r="T69" s="63"/>
      <c r="U69" s="676">
        <f>+'Exhibit I State'!U68+'Exhibit I Federal'!U50</f>
        <v>1.2999999999999829</v>
      </c>
      <c r="V69" s="63"/>
      <c r="W69" s="676">
        <f>+'Exhibit I State'!W68+'Exhibit I Federal'!W50</f>
        <v>4.7000000000000171</v>
      </c>
      <c r="X69" s="63"/>
      <c r="Y69" s="676"/>
      <c r="Z69" s="63"/>
      <c r="AA69" s="676"/>
      <c r="AB69" s="274"/>
      <c r="AC69" s="274">
        <v>0</v>
      </c>
      <c r="AD69" s="63"/>
      <c r="AE69" s="54"/>
      <c r="AF69" s="115">
        <f>ROUND(SUM(E69:AC69),1)</f>
        <v>137.80000000000001</v>
      </c>
      <c r="AG69" s="76"/>
      <c r="AH69" s="53"/>
      <c r="AI69" s="115">
        <f>+'Exhibit I State'!AG68+'Exhibit I Federal'!AG50</f>
        <v>91.7</v>
      </c>
      <c r="AJ69" s="74"/>
      <c r="AK69" s="330"/>
      <c r="AL69" s="55">
        <f>ROUND(SUM(+AF69-AI69),1)</f>
        <v>46.1</v>
      </c>
      <c r="AM69" s="331"/>
      <c r="AN69" s="1856">
        <f>ROUND(IF(AI69=0,1,AL69/ABS(AI69)),3)</f>
        <v>0.503</v>
      </c>
    </row>
    <row r="70" spans="1:44" ht="15.6">
      <c r="A70" s="28"/>
      <c r="B70" s="28" t="s">
        <v>25</v>
      </c>
      <c r="C70" s="28"/>
      <c r="D70" s="28"/>
      <c r="E70" s="676">
        <f>+'Exhibit I State'!E69+'Exhibit I Federal'!E51</f>
        <v>29</v>
      </c>
      <c r="F70" s="1511"/>
      <c r="G70" s="676">
        <f>+'Exhibit I State'!G69+'Exhibit I Federal'!G51</f>
        <v>7.6000000000000014</v>
      </c>
      <c r="H70" s="1511"/>
      <c r="I70" s="676">
        <f>+'Exhibit I State'!I69+'Exhibit I Federal'!I51</f>
        <v>15.699999999999996</v>
      </c>
      <c r="J70" s="1511"/>
      <c r="K70" s="676">
        <f>+'Exhibit I State'!K69+'Exhibit I Federal'!K51</f>
        <v>15.299999999999997</v>
      </c>
      <c r="L70" s="63"/>
      <c r="M70" s="676">
        <f>+'Exhibit I State'!M69+'Exhibit I Federal'!M51</f>
        <v>31.799999999999997</v>
      </c>
      <c r="N70" s="63"/>
      <c r="O70" s="676">
        <f>+'Exhibit I State'!O69+'Exhibit I Federal'!O51</f>
        <v>15.600000000000016</v>
      </c>
      <c r="P70" s="63"/>
      <c r="Q70" s="676">
        <f>+'Exhibit I State'!Q69+'Exhibit I Federal'!Q51</f>
        <v>15.900000000000013</v>
      </c>
      <c r="R70" s="63"/>
      <c r="S70" s="676">
        <f>+'Exhibit I State'!S69+'Exhibit I Federal'!S51</f>
        <v>11</v>
      </c>
      <c r="T70" s="63"/>
      <c r="U70" s="676">
        <f>+'Exhibit I State'!U69+'Exhibit I Federal'!U51</f>
        <v>138.69999999999999</v>
      </c>
      <c r="V70" s="63"/>
      <c r="W70" s="676">
        <f>+'Exhibit I State'!W69+'Exhibit I Federal'!W51</f>
        <v>11.300000000000004</v>
      </c>
      <c r="X70" s="63"/>
      <c r="Y70" s="676"/>
      <c r="Z70" s="63"/>
      <c r="AA70" s="676"/>
      <c r="AB70" s="274"/>
      <c r="AC70" s="274">
        <v>0</v>
      </c>
      <c r="AD70" s="63"/>
      <c r="AE70" s="54"/>
      <c r="AF70" s="115">
        <f>ROUND(SUM(E70:AC70),1)</f>
        <v>291.89999999999998</v>
      </c>
      <c r="AG70" s="76"/>
      <c r="AH70" s="53"/>
      <c r="AI70" s="115">
        <f>+'Exhibit I State'!AG69+'Exhibit I Federal'!AG51</f>
        <v>143.5</v>
      </c>
      <c r="AJ70" s="74"/>
      <c r="AK70" s="330"/>
      <c r="AL70" s="55">
        <f t="shared" ref="AL70:AL77" si="3">ROUND(SUM(+AF70-AI70),1)</f>
        <v>148.4</v>
      </c>
      <c r="AM70" s="331"/>
      <c r="AN70" s="1410">
        <f>ROUND(IF(AI70=0,0,AL70/ABS(AI70)),3)</f>
        <v>1.034</v>
      </c>
    </row>
    <row r="71" spans="1:44" ht="15.6">
      <c r="A71" s="28"/>
      <c r="B71" s="28" t="s">
        <v>26</v>
      </c>
      <c r="C71" s="28"/>
      <c r="D71" s="28"/>
      <c r="E71" s="676">
        <f>+'Exhibit I State'!E70+'Exhibit I Federal'!E52</f>
        <v>12.7</v>
      </c>
      <c r="F71" s="1511"/>
      <c r="G71" s="676">
        <f>+'Exhibit I State'!G70+'Exhibit I Federal'!G52</f>
        <v>41.7</v>
      </c>
      <c r="H71" s="1511"/>
      <c r="I71" s="676">
        <f>+'Exhibit I State'!I70+'Exhibit I Federal'!I52</f>
        <v>37.899999999999991</v>
      </c>
      <c r="J71" s="1511"/>
      <c r="K71" s="676">
        <f>+'Exhibit I State'!K70+'Exhibit I Federal'!K52</f>
        <v>22.200000000000003</v>
      </c>
      <c r="L71" s="63"/>
      <c r="M71" s="676">
        <f>+'Exhibit I State'!M70+'Exhibit I Federal'!M52</f>
        <v>30.800000000000026</v>
      </c>
      <c r="N71" s="63"/>
      <c r="O71" s="676">
        <f>+'Exhibit I State'!O70+'Exhibit I Federal'!O52</f>
        <v>59.899999999999991</v>
      </c>
      <c r="P71" s="63"/>
      <c r="Q71" s="676">
        <f>+'Exhibit I State'!Q70+'Exhibit I Federal'!Q52</f>
        <v>28.200000000000003</v>
      </c>
      <c r="R71" s="63"/>
      <c r="S71" s="676">
        <f>+'Exhibit I State'!S70+'Exhibit I Federal'!S52</f>
        <v>35.800000000000026</v>
      </c>
      <c r="T71" s="63"/>
      <c r="U71" s="676">
        <f>+'Exhibit I State'!U70+'Exhibit I Federal'!U52</f>
        <v>111.70000000000003</v>
      </c>
      <c r="V71" s="63"/>
      <c r="W71" s="676">
        <f>+'Exhibit I State'!W70+'Exhibit I Federal'!W52</f>
        <v>19.199999999999989</v>
      </c>
      <c r="X71" s="63"/>
      <c r="Y71" s="676"/>
      <c r="Z71" s="63"/>
      <c r="AA71" s="676"/>
      <c r="AB71" s="676" t="s">
        <v>1163</v>
      </c>
      <c r="AC71" s="676">
        <v>0</v>
      </c>
      <c r="AD71" s="63"/>
      <c r="AE71" s="54"/>
      <c r="AF71" s="115">
        <f>ROUND(SUM(E71:AC71),1)</f>
        <v>400.1</v>
      </c>
      <c r="AG71" s="76"/>
      <c r="AH71" s="53"/>
      <c r="AI71" s="115">
        <f>+'Exhibit I State'!AG70+'Exhibit I Federal'!AG52</f>
        <v>464.09999999999997</v>
      </c>
      <c r="AJ71" s="74"/>
      <c r="AK71" s="330"/>
      <c r="AL71" s="55">
        <f t="shared" si="3"/>
        <v>-64</v>
      </c>
      <c r="AM71" s="331"/>
      <c r="AN71" s="1410">
        <f>ROUND(IF(AI71=0,0,AL71/ABS(AI71)),3)</f>
        <v>-0.13800000000000001</v>
      </c>
      <c r="AO71" s="322"/>
    </row>
    <row r="72" spans="1:44" ht="15.6">
      <c r="A72" s="28"/>
      <c r="B72" s="28" t="s">
        <v>27</v>
      </c>
      <c r="C72" s="28"/>
      <c r="D72" s="28"/>
      <c r="E72" s="676"/>
      <c r="F72" s="1511"/>
      <c r="G72" s="676"/>
      <c r="H72" s="1511"/>
      <c r="I72" s="676"/>
      <c r="J72" s="1511"/>
      <c r="K72" s="676"/>
      <c r="L72" s="63"/>
      <c r="M72" s="676"/>
      <c r="N72" s="63"/>
      <c r="O72" s="676"/>
      <c r="P72" s="63"/>
      <c r="Q72" s="676"/>
      <c r="R72" s="63"/>
      <c r="S72" s="676"/>
      <c r="T72" s="63"/>
      <c r="U72" s="676"/>
      <c r="V72" s="63"/>
      <c r="W72" s="676"/>
      <c r="X72" s="63"/>
      <c r="Y72" s="676"/>
      <c r="Z72" s="63"/>
      <c r="AA72" s="676"/>
      <c r="AB72" s="274"/>
      <c r="AC72" s="274"/>
      <c r="AD72" s="63"/>
      <c r="AE72" s="54"/>
      <c r="AF72" s="883" t="s">
        <v>14</v>
      </c>
      <c r="AG72" s="76"/>
      <c r="AH72" s="53"/>
      <c r="AI72" s="124"/>
      <c r="AJ72" s="63"/>
      <c r="AK72" s="332"/>
      <c r="AL72" s="55" t="s">
        <v>14</v>
      </c>
      <c r="AM72" s="331"/>
      <c r="AN72" s="336" t="s">
        <v>14</v>
      </c>
      <c r="AO72" s="322"/>
    </row>
    <row r="73" spans="1:44" ht="15.6">
      <c r="A73" s="28"/>
      <c r="B73" s="28" t="s">
        <v>28</v>
      </c>
      <c r="C73" s="26"/>
      <c r="D73" s="28"/>
      <c r="E73" s="676">
        <f>+'Exhibit I State'!E72+'Exhibit I Federal'!E54</f>
        <v>0</v>
      </c>
      <c r="F73" s="1511"/>
      <c r="G73" s="676">
        <f>+'Exhibit I State'!G72+'Exhibit I Federal'!G54</f>
        <v>0</v>
      </c>
      <c r="H73" s="1511"/>
      <c r="I73" s="676">
        <f>+'Exhibit I State'!I72+'Exhibit I Federal'!I54</f>
        <v>0</v>
      </c>
      <c r="J73" s="1511"/>
      <c r="K73" s="676">
        <f>+'Exhibit I State'!K72+'Exhibit I Federal'!K54</f>
        <v>0</v>
      </c>
      <c r="L73" s="63"/>
      <c r="M73" s="676">
        <f>+'Exhibit I State'!M72+'Exhibit I Federal'!M54</f>
        <v>0</v>
      </c>
      <c r="N73" s="63"/>
      <c r="O73" s="676">
        <f>+'Exhibit I State'!O72+'Exhibit I Federal'!O54</f>
        <v>0</v>
      </c>
      <c r="P73" s="63"/>
      <c r="Q73" s="676">
        <f>+'Exhibit I State'!Q72+'Exhibit I Federal'!Q54</f>
        <v>0</v>
      </c>
      <c r="R73" s="63"/>
      <c r="S73" s="676">
        <f>+'Exhibit I State'!S72+'Exhibit I Federal'!S54</f>
        <v>0</v>
      </c>
      <c r="T73" s="63"/>
      <c r="U73" s="676">
        <f>+'Exhibit I State'!U72+'Exhibit I Federal'!U54</f>
        <v>0</v>
      </c>
      <c r="V73" s="63"/>
      <c r="W73" s="676">
        <f>+'Exhibit I State'!W72+'Exhibit I Federal'!W54</f>
        <v>0</v>
      </c>
      <c r="X73" s="63"/>
      <c r="Y73" s="676"/>
      <c r="Z73" s="63"/>
      <c r="AA73" s="676"/>
      <c r="AB73" s="274"/>
      <c r="AC73" s="274">
        <v>0</v>
      </c>
      <c r="AD73" s="63"/>
      <c r="AE73" s="54"/>
      <c r="AF73" s="115">
        <f t="shared" ref="AF73:AF77" si="4">ROUND(SUM(E73:AC73),1)</f>
        <v>0</v>
      </c>
      <c r="AG73" s="76"/>
      <c r="AH73" s="53"/>
      <c r="AI73" s="124">
        <f>+'Exhibit I State'!AG72+'Exhibit I Federal'!AG54</f>
        <v>0</v>
      </c>
      <c r="AJ73" s="63"/>
      <c r="AK73" s="332"/>
      <c r="AL73" s="55">
        <f t="shared" si="3"/>
        <v>0</v>
      </c>
      <c r="AM73" s="331"/>
      <c r="AN73" s="8">
        <f>ROUND(IF(AI73=0,0,AL73/ABS(AI73)),3)</f>
        <v>0</v>
      </c>
      <c r="AO73" s="322"/>
    </row>
    <row r="74" spans="1:44" ht="15.6">
      <c r="A74" s="28"/>
      <c r="B74" s="28" t="s">
        <v>29</v>
      </c>
      <c r="C74" s="28"/>
      <c r="D74" s="28"/>
      <c r="E74" s="676">
        <f>+'Exhibit I State'!E73+'Exhibit I Federal'!E55</f>
        <v>45.1</v>
      </c>
      <c r="F74" s="1511"/>
      <c r="G74" s="676">
        <f>+'Exhibit I State'!G73+'Exhibit I Federal'!G55</f>
        <v>29.699999999999996</v>
      </c>
      <c r="H74" s="1511"/>
      <c r="I74" s="676">
        <f>+'Exhibit I State'!I73+'Exhibit I Federal'!I55</f>
        <v>80.90000000000002</v>
      </c>
      <c r="J74" s="1511"/>
      <c r="K74" s="676">
        <f>+'Exhibit I State'!K73+'Exhibit I Federal'!K55</f>
        <v>41.699999999999989</v>
      </c>
      <c r="L74" s="63"/>
      <c r="M74" s="676">
        <f>+'Exhibit I State'!M73+'Exhibit I Federal'!M55</f>
        <v>35</v>
      </c>
      <c r="N74" s="63"/>
      <c r="O74" s="676">
        <f>+'Exhibit I State'!O73+'Exhibit I Federal'!O55</f>
        <v>36.79999999999999</v>
      </c>
      <c r="P74" s="63"/>
      <c r="Q74" s="676">
        <f>+'Exhibit I State'!Q73+'Exhibit I Federal'!Q55</f>
        <v>41.499999999999972</v>
      </c>
      <c r="R74" s="63"/>
      <c r="S74" s="676">
        <f>+'Exhibit I State'!S73+'Exhibit I Federal'!S55</f>
        <v>62.200000000000045</v>
      </c>
      <c r="T74" s="63"/>
      <c r="U74" s="676">
        <f>+'Exhibit I State'!U73+'Exhibit I Federal'!U55</f>
        <v>65.000000000000028</v>
      </c>
      <c r="V74" s="63"/>
      <c r="W74" s="676">
        <f>+'Exhibit I State'!W73+'Exhibit I Federal'!W55</f>
        <v>83.399999999999977</v>
      </c>
      <c r="X74" s="63"/>
      <c r="Y74" s="676"/>
      <c r="Z74" s="63"/>
      <c r="AA74" s="676"/>
      <c r="AB74" s="274"/>
      <c r="AC74" s="274">
        <v>0</v>
      </c>
      <c r="AD74" s="63"/>
      <c r="AE74" s="54"/>
      <c r="AF74" s="883">
        <f t="shared" si="4"/>
        <v>521.29999999999995</v>
      </c>
      <c r="AG74" s="76"/>
      <c r="AH74" s="53"/>
      <c r="AI74" s="124">
        <f>+'Exhibit I State'!AG73+'Exhibit I Federal'!AG55</f>
        <v>437.5</v>
      </c>
      <c r="AJ74" s="74"/>
      <c r="AK74" s="330"/>
      <c r="AL74" s="55">
        <f t="shared" si="3"/>
        <v>83.8</v>
      </c>
      <c r="AM74" s="331"/>
      <c r="AN74" s="8">
        <f>ROUND(IF(AI74=0,0,AL74/ABS(AI74)),3)</f>
        <v>0.192</v>
      </c>
    </row>
    <row r="75" spans="1:44" ht="15.6">
      <c r="A75" s="28"/>
      <c r="B75" s="28" t="s">
        <v>30</v>
      </c>
      <c r="C75" s="28"/>
      <c r="D75" s="28"/>
      <c r="E75" s="676">
        <f>+'Exhibit I State'!E74+'Exhibit I Federal'!E56</f>
        <v>0.4</v>
      </c>
      <c r="F75" s="1511"/>
      <c r="G75" s="676">
        <f>+'Exhibit I State'!G74+'Exhibit I Federal'!G56</f>
        <v>1.8000000000000003</v>
      </c>
      <c r="H75" s="1511"/>
      <c r="I75" s="676">
        <f>+'Exhibit I State'!I74+'Exhibit I Federal'!I56</f>
        <v>28.299999999999997</v>
      </c>
      <c r="J75" s="1511"/>
      <c r="K75" s="676">
        <f>+'Exhibit I State'!K74+'Exhibit I Federal'!K56</f>
        <v>5.3999999999999986</v>
      </c>
      <c r="L75" s="63"/>
      <c r="M75" s="676">
        <f>+'Exhibit I State'!M74+'Exhibit I Federal'!M56</f>
        <v>2.2000000000000011</v>
      </c>
      <c r="N75" s="63"/>
      <c r="O75" s="676">
        <f>+'Exhibit I State'!O74+'Exhibit I Federal'!O56</f>
        <v>0.70000000000000284</v>
      </c>
      <c r="P75" s="63"/>
      <c r="Q75" s="676">
        <f>+'Exhibit I State'!Q74+'Exhibit I Federal'!Q56</f>
        <v>14.2</v>
      </c>
      <c r="R75" s="63"/>
      <c r="S75" s="676">
        <f>+'Exhibit I State'!S74+'Exhibit I Federal'!S56</f>
        <v>2.5999999999999979</v>
      </c>
      <c r="T75" s="63"/>
      <c r="U75" s="676">
        <f>+'Exhibit I State'!U74+'Exhibit I Federal'!U56</f>
        <v>33.300000000000004</v>
      </c>
      <c r="V75" s="63"/>
      <c r="W75" s="676">
        <f>+'Exhibit I State'!W74+'Exhibit I Federal'!W56</f>
        <v>6.3999999999999968</v>
      </c>
      <c r="X75" s="63"/>
      <c r="Y75" s="676"/>
      <c r="Z75" s="63"/>
      <c r="AA75" s="676"/>
      <c r="AB75" s="274"/>
      <c r="AC75" s="274">
        <v>0</v>
      </c>
      <c r="AD75" s="63"/>
      <c r="AE75" s="54"/>
      <c r="AF75" s="115">
        <f>ROUND(SUM(E75:AC75),1)</f>
        <v>95.3</v>
      </c>
      <c r="AG75" s="76"/>
      <c r="AH75" s="53"/>
      <c r="AI75" s="124">
        <f>+'Exhibit I State'!AG74+'Exhibit I Federal'!AG56</f>
        <v>45.4</v>
      </c>
      <c r="AJ75" s="74"/>
      <c r="AK75" s="330"/>
      <c r="AL75" s="55">
        <f t="shared" si="3"/>
        <v>49.9</v>
      </c>
      <c r="AM75" s="331"/>
      <c r="AN75" s="1449">
        <f>ROUND(IF(AI75=0,1,AL75/ABS(AI75)),3)</f>
        <v>1.099</v>
      </c>
      <c r="AO75" s="322"/>
    </row>
    <row r="76" spans="1:44" ht="15.6">
      <c r="A76" s="28"/>
      <c r="B76" s="28" t="s">
        <v>31</v>
      </c>
      <c r="C76" s="28"/>
      <c r="D76" s="28"/>
      <c r="E76" s="676">
        <f>+'Exhibit I State'!E75+'Exhibit I Federal'!E57</f>
        <v>28.2</v>
      </c>
      <c r="F76" s="1511"/>
      <c r="G76" s="676">
        <f>+'Exhibit I State'!G75+'Exhibit I Federal'!G57</f>
        <v>55.8</v>
      </c>
      <c r="H76" s="1511"/>
      <c r="I76" s="676">
        <f>+'Exhibit I State'!I75+'Exhibit I Federal'!I57</f>
        <v>124.60000000000001</v>
      </c>
      <c r="J76" s="1511"/>
      <c r="K76" s="676">
        <f>+'Exhibit I State'!K75+'Exhibit I Federal'!K57</f>
        <v>54.59999999999998</v>
      </c>
      <c r="L76" s="63"/>
      <c r="M76" s="676">
        <f>+'Exhibit I State'!M75+'Exhibit I Federal'!M57</f>
        <v>12.5</v>
      </c>
      <c r="N76" s="63"/>
      <c r="O76" s="676">
        <f>+'Exhibit I State'!O75+'Exhibit I Federal'!O57</f>
        <v>39.400000000000034</v>
      </c>
      <c r="P76" s="63"/>
      <c r="Q76" s="676">
        <f>+'Exhibit I State'!Q75+'Exhibit I Federal'!Q57</f>
        <v>38.29999999999994</v>
      </c>
      <c r="R76" s="63"/>
      <c r="S76" s="676">
        <f>+'Exhibit I State'!S75+'Exhibit I Federal'!S57</f>
        <v>20.700000000000045</v>
      </c>
      <c r="T76" s="63"/>
      <c r="U76" s="676">
        <f>+'Exhibit I State'!U75+'Exhibit I Federal'!U57</f>
        <v>141.79999999999995</v>
      </c>
      <c r="V76" s="63"/>
      <c r="W76" s="676">
        <f>+'Exhibit I State'!W75+'Exhibit I Federal'!W57</f>
        <v>2.2000000000000455</v>
      </c>
      <c r="X76" s="63"/>
      <c r="Y76" s="676"/>
      <c r="Z76" s="63"/>
      <c r="AA76" s="676"/>
      <c r="AB76" s="274"/>
      <c r="AC76" s="274">
        <v>0</v>
      </c>
      <c r="AD76" s="63"/>
      <c r="AE76" s="54"/>
      <c r="AF76" s="115">
        <f t="shared" si="4"/>
        <v>518.1</v>
      </c>
      <c r="AG76" s="76"/>
      <c r="AH76" s="53"/>
      <c r="AI76" s="124">
        <f>+'Exhibit I State'!AG75+'Exhibit I Federal'!AG57</f>
        <v>488.2</v>
      </c>
      <c r="AJ76" s="63"/>
      <c r="AK76" s="332"/>
      <c r="AL76" s="55">
        <f t="shared" si="3"/>
        <v>29.9</v>
      </c>
      <c r="AM76" s="331"/>
      <c r="AN76" s="1538">
        <f>ROUND(IF(AI76=0,1,AL76/ABS(AI76)),3)</f>
        <v>6.0999999999999999E-2</v>
      </c>
      <c r="AO76" s="322"/>
    </row>
    <row r="77" spans="1:44" ht="15.6">
      <c r="A77" s="28"/>
      <c r="B77" s="28" t="s">
        <v>32</v>
      </c>
      <c r="C77" s="26"/>
      <c r="D77" s="28"/>
      <c r="E77" s="676">
        <f>+'Exhibit I State'!E76+'Exhibit I Federal'!E58</f>
        <v>21.200000000000003</v>
      </c>
      <c r="F77" s="1511"/>
      <c r="G77" s="676">
        <f>+'Exhibit I State'!G76+'Exhibit I Federal'!G58</f>
        <v>54.3</v>
      </c>
      <c r="H77" s="1511"/>
      <c r="I77" s="676">
        <f>+'Exhibit I State'!I76+'Exhibit I Federal'!I58</f>
        <v>147.19999999999999</v>
      </c>
      <c r="J77" s="1511"/>
      <c r="K77" s="676">
        <f>+'Exhibit I State'!K76+'Exhibit I Federal'!K58</f>
        <v>39.5</v>
      </c>
      <c r="L77" s="63"/>
      <c r="M77" s="676">
        <f>+'Exhibit I State'!M76+'Exhibit I Federal'!M58</f>
        <v>33.199999999999989</v>
      </c>
      <c r="N77" s="63"/>
      <c r="O77" s="676">
        <f>+'Exhibit I State'!O76+'Exhibit I Federal'!O58</f>
        <v>104.80000000000001</v>
      </c>
      <c r="P77" s="63"/>
      <c r="Q77" s="676">
        <f>+'Exhibit I State'!Q76+'Exhibit I Federal'!Q58</f>
        <v>39.5</v>
      </c>
      <c r="R77" s="63"/>
      <c r="S77" s="676">
        <f>+'Exhibit I State'!S76+'Exhibit I Federal'!S58</f>
        <v>24.900000000000034</v>
      </c>
      <c r="T77" s="63"/>
      <c r="U77" s="676">
        <f>+'Exhibit I State'!U76+'Exhibit I Federal'!U58</f>
        <v>78.699999999999875</v>
      </c>
      <c r="V77" s="63"/>
      <c r="W77" s="676">
        <f>+'Exhibit I State'!W76+'Exhibit I Federal'!W58</f>
        <v>24.300000000000068</v>
      </c>
      <c r="X77" s="63"/>
      <c r="Y77" s="676"/>
      <c r="Z77" s="63"/>
      <c r="AA77" s="676"/>
      <c r="AB77" s="274"/>
      <c r="AC77" s="274">
        <v>0</v>
      </c>
      <c r="AD77" s="63"/>
      <c r="AE77" s="54"/>
      <c r="AF77" s="115">
        <f t="shared" si="4"/>
        <v>567.6</v>
      </c>
      <c r="AG77" s="76"/>
      <c r="AH77" s="53"/>
      <c r="AI77" s="124">
        <f>+'Exhibit I State'!AG76+'Exhibit I Federal'!AG58</f>
        <v>415.7</v>
      </c>
      <c r="AJ77" s="63"/>
      <c r="AK77" s="332"/>
      <c r="AL77" s="55">
        <f t="shared" si="3"/>
        <v>151.9</v>
      </c>
      <c r="AM77" s="331"/>
      <c r="AN77" s="1538">
        <f>ROUND(IF(AI77=0,0,AL77/ABS(AI77)),3)</f>
        <v>0.36499999999999999</v>
      </c>
      <c r="AO77" s="322"/>
    </row>
    <row r="78" spans="1:44" ht="15.6">
      <c r="A78" s="28"/>
      <c r="B78" s="28" t="s">
        <v>33</v>
      </c>
      <c r="C78" s="28"/>
      <c r="D78" s="28"/>
      <c r="E78" s="676">
        <f>+'Exhibit I State'!E77+'Exhibit I Federal'!E59</f>
        <v>181.70000000000002</v>
      </c>
      <c r="F78" s="1511"/>
      <c r="G78" s="676">
        <f>+'Exhibit I State'!G77+'Exhibit I Federal'!G59</f>
        <v>37.700000000000003</v>
      </c>
      <c r="H78" s="1511"/>
      <c r="I78" s="676">
        <f>+'Exhibit I State'!I77+'Exhibit I Federal'!I59</f>
        <v>269</v>
      </c>
      <c r="J78" s="1511"/>
      <c r="K78" s="676">
        <f>+'Exhibit I State'!K77+'Exhibit I Federal'!K59</f>
        <v>267.10000000000002</v>
      </c>
      <c r="L78" s="63"/>
      <c r="M78" s="676">
        <f>+'Exhibit I State'!M77+'Exhibit I Federal'!M59</f>
        <v>213.49999999999997</v>
      </c>
      <c r="N78" s="63"/>
      <c r="O78" s="676">
        <f>+'Exhibit I State'!O77+'Exhibit I Federal'!O59</f>
        <v>346.20000000000016</v>
      </c>
      <c r="P78" s="63"/>
      <c r="Q78" s="676">
        <f>+'Exhibit I State'!Q77+'Exhibit I Federal'!Q59</f>
        <v>198.10000000000008</v>
      </c>
      <c r="R78" s="63"/>
      <c r="S78" s="676">
        <f>+'Exhibit I State'!S77+'Exhibit I Federal'!S59</f>
        <v>213.09999999999985</v>
      </c>
      <c r="T78" s="63"/>
      <c r="U78" s="676">
        <f>+'Exhibit I State'!U77+'Exhibit I Federal'!U59</f>
        <v>500.19999999999987</v>
      </c>
      <c r="V78" s="63"/>
      <c r="W78" s="676">
        <f>+'Exhibit I State'!W77+'Exhibit I Federal'!W59</f>
        <v>50.500000000000078</v>
      </c>
      <c r="X78" s="63"/>
      <c r="Y78" s="676"/>
      <c r="Z78" s="63"/>
      <c r="AA78" s="676"/>
      <c r="AB78" s="274"/>
      <c r="AC78" s="274">
        <v>0</v>
      </c>
      <c r="AD78" s="63"/>
      <c r="AE78" s="54"/>
      <c r="AF78" s="115">
        <f>ROUND(SUM(E78:AC78),1)</f>
        <v>2277.1</v>
      </c>
      <c r="AG78" s="76"/>
      <c r="AH78" s="53"/>
      <c r="AI78" s="1032">
        <f>+'Exhibit I State'!AG77+'Exhibit I Federal'!AG59</f>
        <v>2137</v>
      </c>
      <c r="AJ78" s="53"/>
      <c r="AK78" s="332"/>
      <c r="AL78" s="55">
        <f>ROUND(SUM(+AF78-AI78),1)</f>
        <v>140.1</v>
      </c>
      <c r="AM78" s="322"/>
      <c r="AN78" s="1411">
        <f>ROUND(IF(AI78=0,0,AL78/ABS(AI78)),3)</f>
        <v>6.6000000000000003E-2</v>
      </c>
      <c r="AO78" s="322"/>
    </row>
    <row r="79" spans="1:44" ht="15.6">
      <c r="A79" s="28"/>
      <c r="B79" s="26" t="s">
        <v>196</v>
      </c>
      <c r="C79" s="28"/>
      <c r="D79" s="28"/>
      <c r="E79" s="291">
        <f>ROUND(SUM(E69:E78),1)</f>
        <v>331.8</v>
      </c>
      <c r="F79" s="910"/>
      <c r="G79" s="291">
        <f>ROUND(SUM(G69:G78),1)</f>
        <v>253.6</v>
      </c>
      <c r="H79" s="910"/>
      <c r="I79" s="291">
        <f>ROUND(SUM(I69:I78),1)</f>
        <v>749.1</v>
      </c>
      <c r="J79" s="1512"/>
      <c r="K79" s="291">
        <f>ROUND(SUM(K69:K78),1)</f>
        <v>458.8</v>
      </c>
      <c r="L79" s="73"/>
      <c r="M79" s="291">
        <f>ROUND(SUM(M69:M78),1)</f>
        <v>369.4</v>
      </c>
      <c r="N79" s="73"/>
      <c r="O79" s="291">
        <f>ROUND(SUM(O69:O78),1)</f>
        <v>611.70000000000005</v>
      </c>
      <c r="P79" s="59"/>
      <c r="Q79" s="291">
        <f>ROUND(SUM(Q69:Q78),1)</f>
        <v>390.9</v>
      </c>
      <c r="R79" s="59"/>
      <c r="S79" s="1084">
        <f>ROUND(SUM(S69:S78),1)</f>
        <v>371.2</v>
      </c>
      <c r="T79" s="59"/>
      <c r="U79" s="1084">
        <f>ROUND(SUM(U69:U78),1)</f>
        <v>1070.7</v>
      </c>
      <c r="V79" s="59"/>
      <c r="W79" s="1084">
        <f>ROUND(SUM(W69:W78),1)</f>
        <v>202</v>
      </c>
      <c r="X79" s="59"/>
      <c r="Y79" s="291">
        <f>ROUND(SUM(Y69:Y78),1)</f>
        <v>0</v>
      </c>
      <c r="Z79" s="59"/>
      <c r="AA79" s="291">
        <f>ROUND(SUM(AA69:AA78),1)</f>
        <v>0</v>
      </c>
      <c r="AB79" s="1512"/>
      <c r="AC79" s="291">
        <f>ROUND(SUM(AC69:AC78),1)</f>
        <v>0</v>
      </c>
      <c r="AD79" s="59"/>
      <c r="AE79" s="61"/>
      <c r="AF79" s="1084">
        <f>ROUND(SUM(AF69:AF78),1)</f>
        <v>4809.2</v>
      </c>
      <c r="AG79" s="213"/>
      <c r="AH79" s="73"/>
      <c r="AI79" s="1084">
        <f>ROUND(SUM(AI69:AI78),1)</f>
        <v>4223.1000000000004</v>
      </c>
      <c r="AJ79" s="73"/>
      <c r="AK79" s="332"/>
      <c r="AL79" s="291">
        <f>ROUND(SUM(AL69:AL78),1)</f>
        <v>586.1</v>
      </c>
      <c r="AM79" s="338"/>
      <c r="AN79" s="888">
        <f>ROUND(SUM(AL79/AI79),3)</f>
        <v>0.13900000000000001</v>
      </c>
      <c r="AO79" s="327"/>
      <c r="AP79" s="335"/>
      <c r="AQ79" s="327"/>
      <c r="AR79" s="327"/>
    </row>
    <row r="80" spans="1:44" ht="15.6">
      <c r="A80" s="28"/>
      <c r="B80" s="28" t="s">
        <v>197</v>
      </c>
      <c r="C80" s="28"/>
      <c r="D80" s="28"/>
      <c r="E80" s="1511"/>
      <c r="F80" s="1511"/>
      <c r="G80" s="1511"/>
      <c r="H80" s="1511"/>
      <c r="I80" s="1511"/>
      <c r="J80" s="1511"/>
      <c r="K80" s="1511"/>
      <c r="L80" s="63"/>
      <c r="M80" s="1511"/>
      <c r="N80" s="63"/>
      <c r="O80" s="1511"/>
      <c r="P80" s="63"/>
      <c r="Q80" s="1511"/>
      <c r="R80" s="63"/>
      <c r="S80" s="115"/>
      <c r="T80" s="63"/>
      <c r="U80" s="115"/>
      <c r="V80" s="63"/>
      <c r="W80" s="115"/>
      <c r="X80" s="63"/>
      <c r="Y80" s="63"/>
      <c r="Z80" s="63"/>
      <c r="AA80" s="63"/>
      <c r="AB80" s="63"/>
      <c r="AC80" s="63"/>
      <c r="AD80" s="63"/>
      <c r="AE80" s="54"/>
      <c r="AF80" s="115"/>
      <c r="AG80" s="76"/>
      <c r="AH80" s="53"/>
      <c r="AI80" s="115"/>
      <c r="AJ80" s="63"/>
      <c r="AK80" s="332"/>
      <c r="AL80" s="55"/>
      <c r="AM80" s="322"/>
      <c r="AN80" s="329"/>
    </row>
    <row r="81" spans="1:44" ht="15.6">
      <c r="A81" s="28"/>
      <c r="B81" s="28" t="s">
        <v>198</v>
      </c>
      <c r="C81" s="28"/>
      <c r="D81" s="28"/>
      <c r="E81" s="676">
        <f>+'Exhibit I State'!E80+'Exhibit I Federal'!E62</f>
        <v>0</v>
      </c>
      <c r="F81" s="1511"/>
      <c r="G81" s="676">
        <f>+'Exhibit I State'!G80+'Exhibit I Federal'!G62</f>
        <v>0</v>
      </c>
      <c r="H81" s="1511"/>
      <c r="I81" s="676">
        <f>+'Exhibit I State'!I80+'Exhibit I Federal'!I62</f>
        <v>0</v>
      </c>
      <c r="J81" s="1511"/>
      <c r="K81" s="676">
        <f>+'Exhibit I State'!K80+'Exhibit I Federal'!K62</f>
        <v>0</v>
      </c>
      <c r="L81" s="63"/>
      <c r="M81" s="676">
        <f>+'Exhibit I State'!M80+'Exhibit I Federal'!M62</f>
        <v>0</v>
      </c>
      <c r="N81" s="63"/>
      <c r="O81" s="676">
        <f>+'Exhibit I State'!O80+'Exhibit I Federal'!O62</f>
        <v>0</v>
      </c>
      <c r="P81" s="63"/>
      <c r="Q81" s="676">
        <f>+'Exhibit I State'!Q80+'Exhibit I Federal'!Q62</f>
        <v>0</v>
      </c>
      <c r="R81" s="63"/>
      <c r="S81" s="676">
        <f>+'Exhibit I State'!S80+'Exhibit I Federal'!S62</f>
        <v>0</v>
      </c>
      <c r="T81" s="63"/>
      <c r="U81" s="676">
        <f>+'Exhibit I State'!U80+'Exhibit I Federal'!U62</f>
        <v>0</v>
      </c>
      <c r="V81" s="63"/>
      <c r="W81" s="676">
        <f>+'Exhibit I State'!W80+'Exhibit I Federal'!W62</f>
        <v>0</v>
      </c>
      <c r="X81" s="63"/>
      <c r="Y81" s="676"/>
      <c r="Z81" s="63"/>
      <c r="AA81" s="676"/>
      <c r="AB81" s="274"/>
      <c r="AC81" s="274">
        <v>0</v>
      </c>
      <c r="AD81" s="63"/>
      <c r="AE81" s="54"/>
      <c r="AF81" s="116">
        <f>ROUND(SUM(E81:AC81),1)</f>
        <v>0</v>
      </c>
      <c r="AG81" s="76"/>
      <c r="AH81" s="53"/>
      <c r="AI81" s="354">
        <f>+'Exhibit I State'!AG80+'Exhibit I Federal'!AG62</f>
        <v>0</v>
      </c>
      <c r="AJ81" s="66"/>
      <c r="AK81" s="339"/>
      <c r="AL81" s="337">
        <f>ROUND(SUM(+AF81-AI81),1)</f>
        <v>0</v>
      </c>
      <c r="AM81" s="322"/>
      <c r="AN81" s="8">
        <f>ROUND(IF(AI81=0,0,AL81/ABS(AI81)),3)</f>
        <v>0</v>
      </c>
    </row>
    <row r="82" spans="1:44" ht="15.6">
      <c r="A82" s="28"/>
      <c r="B82" s="28" t="s">
        <v>199</v>
      </c>
      <c r="C82" s="28"/>
      <c r="D82" s="28"/>
      <c r="E82" s="676">
        <f>+'Exhibit I State'!E81+'Exhibit I Federal'!E63</f>
        <v>0</v>
      </c>
      <c r="F82" s="1511"/>
      <c r="G82" s="676">
        <f>+'Exhibit I State'!G81+'Exhibit I Federal'!G63</f>
        <v>0</v>
      </c>
      <c r="H82" s="1511"/>
      <c r="I82" s="676">
        <f>+'Exhibit I State'!I81+'Exhibit I Federal'!I63</f>
        <v>0</v>
      </c>
      <c r="J82" s="1511"/>
      <c r="K82" s="676">
        <f>+'Exhibit I State'!K81+'Exhibit I Federal'!K63</f>
        <v>0</v>
      </c>
      <c r="L82" s="63"/>
      <c r="M82" s="676">
        <f>+'Exhibit I State'!M81+'Exhibit I Federal'!M63</f>
        <v>0</v>
      </c>
      <c r="N82" s="63"/>
      <c r="O82" s="676">
        <f>+'Exhibit I State'!O81+'Exhibit I Federal'!O63</f>
        <v>0</v>
      </c>
      <c r="P82" s="63"/>
      <c r="Q82" s="676">
        <f>+'Exhibit I State'!Q81+'Exhibit I Federal'!Q63</f>
        <v>0</v>
      </c>
      <c r="R82" s="63"/>
      <c r="S82" s="676">
        <f>+'Exhibit I State'!S81+'Exhibit I Federal'!S63</f>
        <v>0</v>
      </c>
      <c r="T82" s="63"/>
      <c r="U82" s="676">
        <f>+'Exhibit I State'!U81+'Exhibit I Federal'!U63</f>
        <v>0</v>
      </c>
      <c r="V82" s="63"/>
      <c r="W82" s="676">
        <f>+'Exhibit I State'!W81+'Exhibit I Federal'!W63</f>
        <v>0</v>
      </c>
      <c r="X82" s="63"/>
      <c r="Y82" s="676"/>
      <c r="Z82" s="63"/>
      <c r="AA82" s="676"/>
      <c r="AB82" s="274"/>
      <c r="AC82" s="274">
        <v>0</v>
      </c>
      <c r="AD82" s="63"/>
      <c r="AE82" s="54"/>
      <c r="AF82" s="3779">
        <f>ROUND(SUM(E82:AC82),1)</f>
        <v>0</v>
      </c>
      <c r="AG82" s="76"/>
      <c r="AH82" s="53"/>
      <c r="AI82" s="354">
        <f>+'Exhibit I State'!AG81+'Exhibit I Federal'!AG63</f>
        <v>0</v>
      </c>
      <c r="AJ82" s="66"/>
      <c r="AK82" s="339"/>
      <c r="AL82" s="337">
        <f>ROUND(SUM(+AF82-AI82),1)</f>
        <v>0</v>
      </c>
      <c r="AM82" s="322"/>
      <c r="AN82" s="8">
        <f>ROUND(IF(AI82=0,0,AL82/ABS(AI82)),3)</f>
        <v>0</v>
      </c>
    </row>
    <row r="83" spans="1:44" ht="15.6">
      <c r="A83" s="28"/>
      <c r="B83" s="28" t="s">
        <v>200</v>
      </c>
      <c r="C83" s="28"/>
      <c r="D83" s="28"/>
      <c r="E83" s="676">
        <f>+'Exhibit I State'!E82+'Exhibit I Federal'!E64</f>
        <v>0</v>
      </c>
      <c r="F83" s="1511"/>
      <c r="G83" s="676">
        <f>+'Exhibit I State'!G82+'Exhibit I Federal'!G64</f>
        <v>0</v>
      </c>
      <c r="H83" s="1511"/>
      <c r="I83" s="676">
        <f>+'Exhibit I State'!I82+'Exhibit I Federal'!I64</f>
        <v>0</v>
      </c>
      <c r="J83" s="1511"/>
      <c r="K83" s="676">
        <f>+'Exhibit I State'!K82+'Exhibit I Federal'!K64</f>
        <v>0</v>
      </c>
      <c r="L83" s="63"/>
      <c r="M83" s="676">
        <f>+'Exhibit I State'!M82+'Exhibit I Federal'!M64</f>
        <v>0</v>
      </c>
      <c r="N83" s="63"/>
      <c r="O83" s="676">
        <f>+'Exhibit I State'!O82+'Exhibit I Federal'!O64</f>
        <v>0</v>
      </c>
      <c r="P83" s="63"/>
      <c r="Q83" s="676">
        <f>+'Exhibit I State'!Q82+'Exhibit I Federal'!Q64</f>
        <v>0</v>
      </c>
      <c r="R83" s="63"/>
      <c r="S83" s="676">
        <f>+'Exhibit I State'!S82+'Exhibit I Federal'!S64</f>
        <v>0</v>
      </c>
      <c r="T83" s="63"/>
      <c r="U83" s="676">
        <f>+'Exhibit I State'!U82+'Exhibit I Federal'!U64</f>
        <v>0</v>
      </c>
      <c r="V83" s="63"/>
      <c r="W83" s="676">
        <f>+'Exhibit I State'!W82+'Exhibit I Federal'!W64</f>
        <v>0</v>
      </c>
      <c r="X83" s="63"/>
      <c r="Y83" s="676"/>
      <c r="Z83" s="340"/>
      <c r="AA83" s="676"/>
      <c r="AB83" s="274"/>
      <c r="AC83" s="274">
        <v>0</v>
      </c>
      <c r="AD83" s="340"/>
      <c r="AE83" s="341"/>
      <c r="AF83" s="116">
        <f>ROUND(SUM(E83:AC83),1)</f>
        <v>0</v>
      </c>
      <c r="AG83" s="76"/>
      <c r="AH83" s="53"/>
      <c r="AI83" s="354">
        <f>+'Exhibit I State'!AG82+'Exhibit I Federal'!AG64</f>
        <v>0</v>
      </c>
      <c r="AJ83" s="66"/>
      <c r="AK83" s="339"/>
      <c r="AL83" s="337">
        <f>ROUND(SUM(+AF83-AI83),1)</f>
        <v>0</v>
      </c>
      <c r="AM83" s="322"/>
      <c r="AN83" s="8">
        <f>ROUND(IF(AI83=0,0,AL83/ABS(AI83)),3)</f>
        <v>0</v>
      </c>
    </row>
    <row r="84" spans="1:44" ht="15.6">
      <c r="A84" s="28"/>
      <c r="B84" s="51" t="s">
        <v>171</v>
      </c>
      <c r="C84" s="28"/>
      <c r="D84" s="28"/>
      <c r="E84" s="676">
        <f>+'Exhibit I State'!E83+'Exhibit I Federal'!E65</f>
        <v>398.20000000000005</v>
      </c>
      <c r="F84" s="1511"/>
      <c r="G84" s="676">
        <f>+'Exhibit I State'!G83+'Exhibit I Federal'!G65</f>
        <v>514.1</v>
      </c>
      <c r="H84" s="650"/>
      <c r="I84" s="676">
        <f>+'Exhibit I State'!I83+'Exhibit I Federal'!I65</f>
        <v>631.40000000000009</v>
      </c>
      <c r="J84" s="650"/>
      <c r="K84" s="676">
        <f>+'Exhibit I State'!K83+'Exhibit I Federal'!K65</f>
        <v>554.19999999999982</v>
      </c>
      <c r="L84" s="63"/>
      <c r="M84" s="676">
        <f>+'Exhibit I State'!M83+'Exhibit I Federal'!M65</f>
        <v>699.60000000000014</v>
      </c>
      <c r="N84" s="63"/>
      <c r="O84" s="676">
        <f>+'Exhibit I State'!O83+'Exhibit I Federal'!O65</f>
        <v>710.0999999999998</v>
      </c>
      <c r="P84" s="63"/>
      <c r="Q84" s="676">
        <f>+'Exhibit I State'!Q83+'Exhibit I Federal'!Q65</f>
        <v>601.50000000000034</v>
      </c>
      <c r="R84" s="63"/>
      <c r="S84" s="676">
        <f>+'Exhibit I State'!S83+'Exhibit I Federal'!S65</f>
        <v>744.7</v>
      </c>
      <c r="T84" s="63"/>
      <c r="U84" s="676">
        <f>+'Exhibit I State'!U83+'Exhibit I Federal'!U65</f>
        <v>649.79999999999973</v>
      </c>
      <c r="V84" s="63"/>
      <c r="W84" s="676">
        <f>+'Exhibit I State'!W83+'Exhibit I Federal'!W65</f>
        <v>558.79999999999961</v>
      </c>
      <c r="X84" s="63"/>
      <c r="Y84" s="676"/>
      <c r="Z84" s="63"/>
      <c r="AA84" s="676"/>
      <c r="AB84" s="274"/>
      <c r="AC84" s="274">
        <v>0</v>
      </c>
      <c r="AD84" s="63"/>
      <c r="AE84" s="54"/>
      <c r="AF84" s="116">
        <f>ROUND(SUM(E84:AC84),1)</f>
        <v>6062.4</v>
      </c>
      <c r="AG84" s="76"/>
      <c r="AH84" s="53"/>
      <c r="AI84" s="3402">
        <f>+'Exhibit I State'!AG83+'Exhibit I Federal'!AG65</f>
        <v>5838.5</v>
      </c>
      <c r="AJ84" s="75"/>
      <c r="AK84" s="330"/>
      <c r="AL84" s="333">
        <f>ROUND(SUM(+AF84-AI84),1)</f>
        <v>223.9</v>
      </c>
      <c r="AM84" s="322"/>
      <c r="AN84" s="1411">
        <f>ROUND(IF(AI84=0,1,AL84/ABS(AI84)),3)</f>
        <v>3.7999999999999999E-2</v>
      </c>
    </row>
    <row r="85" spans="1:44" ht="15.6">
      <c r="A85" s="28"/>
      <c r="B85" s="28"/>
      <c r="C85" s="28"/>
      <c r="D85" s="28"/>
      <c r="E85" s="677"/>
      <c r="F85" s="1511"/>
      <c r="G85" s="677"/>
      <c r="H85" s="1511"/>
      <c r="I85" s="677"/>
      <c r="J85" s="1511"/>
      <c r="K85" s="677"/>
      <c r="L85" s="63"/>
      <c r="M85" s="677"/>
      <c r="N85" s="63"/>
      <c r="O85" s="677"/>
      <c r="P85" s="63"/>
      <c r="Q85" s="677"/>
      <c r="R85" s="63"/>
      <c r="S85" s="123"/>
      <c r="T85" s="63"/>
      <c r="U85" s="123"/>
      <c r="V85" s="63"/>
      <c r="W85" s="123"/>
      <c r="X85" s="63"/>
      <c r="Y85" s="85"/>
      <c r="Z85" s="63"/>
      <c r="AA85" s="85"/>
      <c r="AB85" s="53"/>
      <c r="AC85" s="85"/>
      <c r="AD85" s="63"/>
      <c r="AE85" s="54"/>
      <c r="AF85" s="123"/>
      <c r="AG85" s="76"/>
      <c r="AH85" s="53"/>
      <c r="AI85" s="355"/>
      <c r="AJ85" s="55"/>
      <c r="AK85" s="342"/>
      <c r="AL85" s="55"/>
      <c r="AM85" s="322"/>
      <c r="AN85" s="329"/>
    </row>
    <row r="86" spans="1:44" ht="15.6">
      <c r="A86" s="28"/>
      <c r="B86" s="26" t="s">
        <v>201</v>
      </c>
      <c r="C86" s="28"/>
      <c r="D86" s="28"/>
      <c r="E86" s="910">
        <f>ROUND(SUM(+E84+E79),1)</f>
        <v>730</v>
      </c>
      <c r="F86" s="910"/>
      <c r="G86" s="2029">
        <f>ROUND(SUM(G79:G84),1)</f>
        <v>767.7</v>
      </c>
      <c r="H86" s="910"/>
      <c r="I86" s="910">
        <f>ROUND(SUM(+I84+I79+I81+I82+I83),1)</f>
        <v>1380.5</v>
      </c>
      <c r="J86" s="910"/>
      <c r="K86" s="910">
        <f>ROUND(SUM(+K84+K79),1)</f>
        <v>1013</v>
      </c>
      <c r="L86" s="59"/>
      <c r="M86" s="910">
        <f>ROUND(SUM(+M84+M79),1)</f>
        <v>1069</v>
      </c>
      <c r="N86" s="59"/>
      <c r="O86" s="910">
        <f>ROUND(SUM(+O84+O79),1)</f>
        <v>1321.8</v>
      </c>
      <c r="P86" s="59"/>
      <c r="Q86" s="910">
        <f>ROUND(SUM(+Q84+Q79),1)</f>
        <v>992.4</v>
      </c>
      <c r="R86" s="59"/>
      <c r="S86" s="109">
        <f>ROUND(SUM(+S84+S79),1)</f>
        <v>1115.9000000000001</v>
      </c>
      <c r="T86" s="59"/>
      <c r="U86" s="109">
        <f>ROUND(SUM(+U84+U79),1)</f>
        <v>1720.5</v>
      </c>
      <c r="V86" s="59"/>
      <c r="W86" s="109">
        <f>ROUND(SUM(+W84+W79),1)</f>
        <v>760.8</v>
      </c>
      <c r="X86" s="59"/>
      <c r="Y86" s="910">
        <f>ROUND(SUM(+Y84+Y79),1)</f>
        <v>0</v>
      </c>
      <c r="Z86" s="59"/>
      <c r="AA86" s="910">
        <f>ROUND(SUM(+AA84+AA79),1)</f>
        <v>0</v>
      </c>
      <c r="AB86" s="910"/>
      <c r="AC86" s="910">
        <f>ROUND(SUM(+AC84+AC79),1)</f>
        <v>0</v>
      </c>
      <c r="AD86" s="59"/>
      <c r="AE86" s="61"/>
      <c r="AF86" s="3899">
        <f>ROUND(SUM(+AF84+AF79+AF81+AF82+AF83),1)</f>
        <v>10871.6</v>
      </c>
      <c r="AG86" s="213"/>
      <c r="AH86" s="73"/>
      <c r="AI86" s="109">
        <f>ROUND(SUM(+AI84+AI79+AI81+AI82+AI83),1)</f>
        <v>10061.6</v>
      </c>
      <c r="AJ86" s="73"/>
      <c r="AK86" s="332"/>
      <c r="AL86" s="71">
        <f>ROUND(SUM(AL79+AL84+AL81+AL82+AL83),1)</f>
        <v>810</v>
      </c>
      <c r="AM86" s="338"/>
      <c r="AN86" s="296">
        <f>ROUND(SUM(AL86/AI86),3)</f>
        <v>8.1000000000000003E-2</v>
      </c>
      <c r="AO86" s="327"/>
      <c r="AP86" s="335"/>
      <c r="AQ86" s="327"/>
      <c r="AR86" s="327"/>
    </row>
    <row r="87" spans="1:44" ht="15.6">
      <c r="A87" s="28"/>
      <c r="B87" s="28"/>
      <c r="C87" s="28"/>
      <c r="D87" s="28"/>
      <c r="E87" s="677"/>
      <c r="F87" s="1511"/>
      <c r="G87" s="677"/>
      <c r="H87" s="1511"/>
      <c r="I87" s="677"/>
      <c r="J87" s="1511"/>
      <c r="K87" s="677"/>
      <c r="L87" s="63"/>
      <c r="M87" s="677"/>
      <c r="N87" s="63"/>
      <c r="O87" s="677"/>
      <c r="P87" s="63"/>
      <c r="Q87" s="677"/>
      <c r="R87" s="63"/>
      <c r="S87" s="123"/>
      <c r="T87" s="63"/>
      <c r="U87" s="123"/>
      <c r="V87" s="63"/>
      <c r="W87" s="123"/>
      <c r="X87" s="63"/>
      <c r="Y87" s="85"/>
      <c r="Z87" s="63"/>
      <c r="AA87" s="85"/>
      <c r="AB87" s="53"/>
      <c r="AC87" s="85"/>
      <c r="AD87" s="63"/>
      <c r="AE87" s="54"/>
      <c r="AF87" s="123"/>
      <c r="AG87" s="76"/>
      <c r="AH87" s="53"/>
      <c r="AI87" s="123"/>
      <c r="AJ87" s="53"/>
      <c r="AK87" s="332"/>
      <c r="AL87" s="55"/>
      <c r="AM87" s="322"/>
      <c r="AN87" s="329"/>
    </row>
    <row r="88" spans="1:44" ht="15.6">
      <c r="A88" s="28"/>
      <c r="B88" s="26" t="s">
        <v>202</v>
      </c>
      <c r="C88" s="28"/>
      <c r="D88" s="28"/>
      <c r="E88" s="1511"/>
      <c r="F88" s="1511"/>
      <c r="G88" s="1511"/>
      <c r="H88" s="1511"/>
      <c r="I88" s="1511"/>
      <c r="J88" s="1511"/>
      <c r="K88" s="1511"/>
      <c r="L88" s="63"/>
      <c r="M88" s="1511"/>
      <c r="N88" s="63"/>
      <c r="O88" s="1511"/>
      <c r="P88" s="63"/>
      <c r="Q88" s="1511"/>
      <c r="R88" s="63"/>
      <c r="S88" s="115"/>
      <c r="T88" s="63"/>
      <c r="U88" s="115"/>
      <c r="V88" s="63"/>
      <c r="W88" s="115"/>
      <c r="X88" s="63"/>
      <c r="Y88" s="63"/>
      <c r="Z88" s="63"/>
      <c r="AA88" s="63"/>
      <c r="AB88" s="63"/>
      <c r="AC88" s="63"/>
      <c r="AD88" s="63"/>
      <c r="AE88" s="54"/>
      <c r="AF88" s="355"/>
      <c r="AG88" s="76"/>
      <c r="AH88" s="53"/>
      <c r="AI88" s="355"/>
      <c r="AJ88" s="55"/>
      <c r="AK88" s="342"/>
      <c r="AL88" s="55"/>
      <c r="AM88" s="322"/>
      <c r="AN88" s="329"/>
    </row>
    <row r="89" spans="1:44" ht="15.6">
      <c r="A89" s="28"/>
      <c r="B89" s="26" t="s">
        <v>203</v>
      </c>
      <c r="C89" s="28"/>
      <c r="D89" s="28"/>
      <c r="E89" s="910">
        <f>ROUND(SUM(E65-E86),1)</f>
        <v>-458.3</v>
      </c>
      <c r="F89" s="910"/>
      <c r="G89" s="910">
        <f>ROUND(SUM(G65-G86),1)</f>
        <v>-561.29999999999995</v>
      </c>
      <c r="H89" s="910"/>
      <c r="I89" s="910">
        <f>ROUND(SUM(I65-I86),1)</f>
        <v>-1021.9</v>
      </c>
      <c r="J89" s="910"/>
      <c r="K89" s="910">
        <f>ROUND(SUM(K65-K86),1)</f>
        <v>-434.7</v>
      </c>
      <c r="L89" s="59"/>
      <c r="M89" s="910">
        <f>ROUND(SUM(M65-M86),1)</f>
        <v>-670.1</v>
      </c>
      <c r="N89" s="59"/>
      <c r="O89" s="910">
        <f>ROUND(SUM(O65-O86),1)</f>
        <v>-613.79999999999995</v>
      </c>
      <c r="P89" s="59"/>
      <c r="Q89" s="910">
        <f>ROUND(SUM(Q65-Q86),1)</f>
        <v>321.8</v>
      </c>
      <c r="R89" s="59"/>
      <c r="S89" s="109">
        <f>ROUND(SUM(S65-S86),1)</f>
        <v>-607.4</v>
      </c>
      <c r="T89" s="59"/>
      <c r="U89" s="109">
        <f>ROUND(SUM(U65-U86),1)</f>
        <v>-568.5</v>
      </c>
      <c r="V89" s="59"/>
      <c r="W89" s="109">
        <f>ROUND(SUM(W65-W86),1)</f>
        <v>-294.60000000000002</v>
      </c>
      <c r="X89" s="59"/>
      <c r="Y89" s="910">
        <f>ROUND(SUM(Y65-Y86),1)</f>
        <v>0</v>
      </c>
      <c r="Z89" s="59"/>
      <c r="AA89" s="910">
        <f>ROUND(SUM(AA65-AA86),1)</f>
        <v>0</v>
      </c>
      <c r="AB89" s="910"/>
      <c r="AC89" s="910">
        <f>ROUND(SUM(AC65-AC86),1)</f>
        <v>0</v>
      </c>
      <c r="AD89" s="59"/>
      <c r="AE89" s="61"/>
      <c r="AF89" s="109">
        <f>ROUND(SUM(AF65-AF86),1)</f>
        <v>-4908.8</v>
      </c>
      <c r="AG89" s="213"/>
      <c r="AH89" s="73"/>
      <c r="AI89" s="109">
        <f>ROUND(SUM(AI65-AI86),1)</f>
        <v>-2563.3000000000002</v>
      </c>
      <c r="AJ89" s="73"/>
      <c r="AK89" s="332"/>
      <c r="AL89" s="71">
        <f>ROUND(SUM(AL65-AL86),1)</f>
        <v>-2345.5</v>
      </c>
      <c r="AM89" s="338"/>
      <c r="AN89" s="345">
        <f>ROUND(IF(AI89=0,0,AL89/ABS(AI89)),3)</f>
        <v>-0.91500000000000004</v>
      </c>
      <c r="AO89" s="327"/>
      <c r="AP89" s="327"/>
      <c r="AQ89" s="327"/>
      <c r="AR89" s="327"/>
    </row>
    <row r="90" spans="1:44" ht="15.6">
      <c r="A90" s="28"/>
      <c r="B90" s="28"/>
      <c r="C90" s="28"/>
      <c r="D90" s="28"/>
      <c r="E90" s="677"/>
      <c r="F90" s="1511"/>
      <c r="G90" s="677"/>
      <c r="H90" s="1511"/>
      <c r="I90" s="677"/>
      <c r="J90" s="1511"/>
      <c r="K90" s="677"/>
      <c r="L90" s="63"/>
      <c r="M90" s="677"/>
      <c r="N90" s="63"/>
      <c r="O90" s="677"/>
      <c r="P90" s="63"/>
      <c r="Q90" s="677"/>
      <c r="R90" s="63"/>
      <c r="S90" s="123"/>
      <c r="T90" s="63"/>
      <c r="U90" s="123"/>
      <c r="V90" s="63"/>
      <c r="W90" s="123"/>
      <c r="X90" s="63"/>
      <c r="Y90" s="85"/>
      <c r="Z90" s="63"/>
      <c r="AA90" s="85"/>
      <c r="AB90" s="53"/>
      <c r="AC90" s="85"/>
      <c r="AD90" s="63"/>
      <c r="AE90" s="54"/>
      <c r="AF90" s="123"/>
      <c r="AG90" s="76"/>
      <c r="AH90" s="53"/>
      <c r="AI90" s="123"/>
      <c r="AJ90" s="53"/>
      <c r="AK90" s="332"/>
      <c r="AL90" s="55"/>
      <c r="AM90" s="322"/>
      <c r="AN90" s="329"/>
    </row>
    <row r="91" spans="1:44" ht="15.6">
      <c r="A91" s="28"/>
      <c r="B91" s="26" t="s">
        <v>204</v>
      </c>
      <c r="C91" s="28"/>
      <c r="D91" s="28"/>
      <c r="E91" s="1511"/>
      <c r="F91" s="1511"/>
      <c r="G91" s="1511"/>
      <c r="H91" s="1511"/>
      <c r="I91" s="1511"/>
      <c r="J91" s="1511"/>
      <c r="K91" s="1511"/>
      <c r="L91" s="63"/>
      <c r="M91" s="1511"/>
      <c r="N91" s="63"/>
      <c r="O91" s="1511"/>
      <c r="P91" s="63"/>
      <c r="Q91" s="1511"/>
      <c r="R91" s="63"/>
      <c r="S91" s="115"/>
      <c r="T91" s="63"/>
      <c r="U91" s="115"/>
      <c r="V91" s="63"/>
      <c r="W91" s="115"/>
      <c r="X91" s="63"/>
      <c r="Y91" s="63"/>
      <c r="Z91" s="63"/>
      <c r="AA91" s="63"/>
      <c r="AB91" s="63"/>
      <c r="AC91" s="115"/>
      <c r="AD91" s="63"/>
      <c r="AE91" s="54"/>
      <c r="AF91" s="115"/>
      <c r="AG91" s="76"/>
      <c r="AH91" s="53"/>
      <c r="AI91" s="124"/>
      <c r="AJ91" s="66"/>
      <c r="AK91" s="339"/>
      <c r="AL91" s="55"/>
      <c r="AM91" s="322"/>
      <c r="AN91" s="329"/>
    </row>
    <row r="92" spans="1:44" s="1078" customFormat="1" ht="15.6">
      <c r="A92" s="104"/>
      <c r="B92" s="982" t="s">
        <v>1353</v>
      </c>
      <c r="C92" s="104"/>
      <c r="D92" s="104"/>
      <c r="E92" s="676">
        <f>+'Exhibit I State'!E91</f>
        <v>0</v>
      </c>
      <c r="F92" s="1511"/>
      <c r="G92" s="676">
        <f>+'Exhibit I State'!G91+'Exhibit I Federal'!G73</f>
        <v>0</v>
      </c>
      <c r="H92" s="650"/>
      <c r="I92" s="676">
        <f>+'Exhibit I State'!I91+'Exhibit I Federal'!I73</f>
        <v>0</v>
      </c>
      <c r="J92" s="1511"/>
      <c r="K92" s="676">
        <f>+'Exhibit I State'!K91</f>
        <v>0</v>
      </c>
      <c r="L92" s="115"/>
      <c r="M92" s="676">
        <f>+'Exhibit I State'!M91</f>
        <v>0</v>
      </c>
      <c r="N92" s="354"/>
      <c r="O92" s="676">
        <f>+'Exhibit I State'!O91</f>
        <v>0</v>
      </c>
      <c r="P92" s="115"/>
      <c r="Q92" s="676">
        <f>+'Exhibit I State'!Q91</f>
        <v>0</v>
      </c>
      <c r="R92" s="115"/>
      <c r="S92" s="676">
        <f>+'Exhibit I State'!S91</f>
        <v>0</v>
      </c>
      <c r="T92" s="115"/>
      <c r="U92" s="676">
        <f>+'Exhibit I State'!U91</f>
        <v>0</v>
      </c>
      <c r="V92" s="115"/>
      <c r="W92" s="676">
        <f>+'Exhibit I State'!W91</f>
        <v>0</v>
      </c>
      <c r="X92" s="115"/>
      <c r="Y92" s="676"/>
      <c r="Z92" s="115"/>
      <c r="AA92" s="676"/>
      <c r="AB92" s="1068"/>
      <c r="AC92" s="1068">
        <v>0</v>
      </c>
      <c r="AD92" s="115"/>
      <c r="AE92" s="668"/>
      <c r="AF92" s="116">
        <f>ROUND(SUM(E92:AC92),1)</f>
        <v>0</v>
      </c>
      <c r="AG92" s="1069"/>
      <c r="AH92" s="64"/>
      <c r="AI92" s="124">
        <f>+'Exhibit I State'!AG91+'Exhibit I Federal'!AG73</f>
        <v>0</v>
      </c>
      <c r="AJ92" s="124"/>
      <c r="AK92" s="1096"/>
      <c r="AL92" s="1772">
        <f>ROUND(SUM(+AF92-AI92),1)</f>
        <v>0</v>
      </c>
      <c r="AM92" s="1071"/>
      <c r="AN92" s="1629">
        <f>ROUND(IF(AI92=0,0,AL92/ABS(AI92)),3)</f>
        <v>0</v>
      </c>
      <c r="AP92" s="3152"/>
    </row>
    <row r="93" spans="1:44" s="1078" customFormat="1" ht="15.6">
      <c r="A93" s="104"/>
      <c r="B93" s="1705" t="s">
        <v>172</v>
      </c>
      <c r="C93" s="104"/>
      <c r="D93" s="104"/>
      <c r="E93" s="676">
        <f>+'Exhibit I State'!E92+'Exhibit I Federal'!E73</f>
        <v>488.9</v>
      </c>
      <c r="F93" s="1511"/>
      <c r="G93" s="676">
        <f>+'Exhibit I State'!G92+'Exhibit I Federal'!G73</f>
        <v>344.30000000000007</v>
      </c>
      <c r="H93" s="676"/>
      <c r="I93" s="676">
        <f>+'Exhibit I State'!I92+'Exhibit I Federal'!I73</f>
        <v>830.89999999999975</v>
      </c>
      <c r="J93" s="1511"/>
      <c r="K93" s="676">
        <f>+'Exhibit I State'!K92+'Exhibit I Federal'!K73</f>
        <v>298.89999999999998</v>
      </c>
      <c r="L93" s="115"/>
      <c r="M93" s="676">
        <f>+'Exhibit I State'!M92+'Exhibit I Federal'!M73</f>
        <v>586.59999999999991</v>
      </c>
      <c r="N93" s="115"/>
      <c r="O93" s="676">
        <f>+'Exhibit I State'!O92+'Exhibit I Federal'!O73</f>
        <v>434.1</v>
      </c>
      <c r="P93" s="115"/>
      <c r="Q93" s="676">
        <f>+'Exhibit I State'!Q92+'Exhibit I Federal'!Q73</f>
        <v>320.39999999999998</v>
      </c>
      <c r="R93" s="115"/>
      <c r="S93" s="676">
        <f>+'Exhibit I State'!S92+'Exhibit I Federal'!S73</f>
        <v>608.30000000000018</v>
      </c>
      <c r="T93" s="115"/>
      <c r="U93" s="676">
        <f>+'Exhibit I State'!U92+'Exhibit I Federal'!U73</f>
        <v>516.50000000000011</v>
      </c>
      <c r="V93" s="115"/>
      <c r="W93" s="676">
        <f>+'Exhibit I State'!W92+'Exhibit I Federal'!W73</f>
        <v>352.40000000000009</v>
      </c>
      <c r="X93" s="115"/>
      <c r="Y93" s="676"/>
      <c r="Z93" s="115"/>
      <c r="AA93" s="676"/>
      <c r="AB93" s="3373"/>
      <c r="AC93" s="1768">
        <v>0</v>
      </c>
      <c r="AD93" s="115"/>
      <c r="AE93" s="668"/>
      <c r="AF93" s="116">
        <f>ROUND(SUM(E93:AC93),1)</f>
        <v>4781.3</v>
      </c>
      <c r="AG93" s="1069"/>
      <c r="AH93" s="64"/>
      <c r="AI93" s="115">
        <v>2698.8</v>
      </c>
      <c r="AJ93" s="116"/>
      <c r="AK93" s="1070"/>
      <c r="AL93" s="1772">
        <f>ROUND(SUM(+AF93-AI93),1)</f>
        <v>2082.5</v>
      </c>
      <c r="AM93" s="1090"/>
      <c r="AN93" s="1773">
        <f>ROUND(IF(AI93=0,0,AL93/ABS(AI93)),3)</f>
        <v>0.77200000000000002</v>
      </c>
      <c r="AO93" s="1090"/>
      <c r="AP93" s="1091"/>
    </row>
    <row r="94" spans="1:44" ht="15.6">
      <c r="A94" s="28"/>
      <c r="B94" s="51" t="s">
        <v>205</v>
      </c>
      <c r="C94" s="28"/>
      <c r="D94" s="28"/>
      <c r="E94" s="676">
        <f>+'Exhibit I State'!E93+'Exhibit I Federal'!E74</f>
        <v>-8.4</v>
      </c>
      <c r="F94" s="1511"/>
      <c r="G94" s="676">
        <f>+'Exhibit I State'!G93+'Exhibit I Federal'!G74</f>
        <v>-8.1</v>
      </c>
      <c r="H94" s="1511"/>
      <c r="I94" s="676">
        <f>+'Exhibit I State'!I93+'Exhibit I Federal'!I74</f>
        <v>-23.8</v>
      </c>
      <c r="J94" s="1511"/>
      <c r="K94" s="676">
        <f>+'Exhibit I State'!K93+'Exhibit I Federal'!K74</f>
        <v>-8.7000000000000028</v>
      </c>
      <c r="L94" s="115"/>
      <c r="M94" s="676">
        <f>+'Exhibit I State'!M93+'Exhibit I Federal'!M74</f>
        <v>-8.8999999999999986</v>
      </c>
      <c r="N94" s="115"/>
      <c r="O94" s="676">
        <f>+'Exhibit I State'!O93+'Exhibit I Federal'!O74</f>
        <v>-211.4</v>
      </c>
      <c r="P94" s="115"/>
      <c r="Q94" s="676">
        <f>+'Exhibit I State'!Q93+'Exhibit I Federal'!Q74</f>
        <v>-10.5</v>
      </c>
      <c r="R94" s="115"/>
      <c r="S94" s="676">
        <f>+'Exhibit I State'!S93+'Exhibit I Federal'!S74</f>
        <v>-9.6999999999999886</v>
      </c>
      <c r="T94" s="115"/>
      <c r="U94" s="676">
        <f>+'Exhibit I State'!U93+'Exhibit I Federal'!U74</f>
        <v>-44.500000000000064</v>
      </c>
      <c r="V94" s="115"/>
      <c r="W94" s="676">
        <f>+'Exhibit I State'!W93+'Exhibit I Federal'!W74</f>
        <v>-8.7999999999999545</v>
      </c>
      <c r="X94" s="115"/>
      <c r="Y94" s="676"/>
      <c r="Z94" s="115"/>
      <c r="AA94" s="676"/>
      <c r="AB94" s="3373"/>
      <c r="AC94" s="3363">
        <v>0</v>
      </c>
      <c r="AD94" s="63"/>
      <c r="AE94" s="54"/>
      <c r="AF94" s="116">
        <f>ROUND(SUM(E94:AC94),1)</f>
        <v>-342.8</v>
      </c>
      <c r="AG94" s="76"/>
      <c r="AH94" s="53"/>
      <c r="AI94" s="3760">
        <v>-364.5</v>
      </c>
      <c r="AJ94" s="53"/>
      <c r="AK94" s="332"/>
      <c r="AL94" s="885">
        <f>ROUND(-SUM(+AF94-AI94),1)</f>
        <v>-21.7</v>
      </c>
      <c r="AM94" s="322"/>
      <c r="AN94" s="891">
        <f>ROUND(IF(AI94=0,0,AL94/ABS(AI94)),3)</f>
        <v>-0.06</v>
      </c>
      <c r="AO94" s="55"/>
      <c r="AP94" s="164"/>
      <c r="AQ94" s="164"/>
    </row>
    <row r="95" spans="1:44" ht="15.6">
      <c r="A95" s="28"/>
      <c r="B95" s="28"/>
      <c r="C95" s="28"/>
      <c r="D95" s="28"/>
      <c r="E95" s="85"/>
      <c r="F95" s="63"/>
      <c r="G95" s="85"/>
      <c r="H95" s="63"/>
      <c r="I95" s="85"/>
      <c r="J95" s="63"/>
      <c r="K95" s="85"/>
      <c r="L95" s="63"/>
      <c r="M95" s="85"/>
      <c r="N95" s="63"/>
      <c r="O95" s="85"/>
      <c r="P95" s="63"/>
      <c r="Q95" s="85"/>
      <c r="R95" s="63"/>
      <c r="S95" s="123"/>
      <c r="T95" s="63"/>
      <c r="U95" s="123"/>
      <c r="V95" s="63"/>
      <c r="W95" s="123"/>
      <c r="X95" s="63"/>
      <c r="Y95" s="85"/>
      <c r="Z95" s="63"/>
      <c r="AA95" s="85"/>
      <c r="AB95" s="53"/>
      <c r="AC95" s="64"/>
      <c r="AD95" s="63"/>
      <c r="AE95" s="54"/>
      <c r="AF95" s="123"/>
      <c r="AG95" s="76"/>
      <c r="AH95" s="53"/>
      <c r="AI95" s="355"/>
      <c r="AJ95" s="55"/>
      <c r="AK95" s="342"/>
      <c r="AL95" s="55"/>
      <c r="AM95" s="322"/>
      <c r="AN95" s="329"/>
      <c r="AO95" s="164"/>
    </row>
    <row r="96" spans="1:44" ht="15.6">
      <c r="A96" s="28"/>
      <c r="B96" s="26" t="s">
        <v>1094</v>
      </c>
      <c r="C96" s="28"/>
      <c r="D96" s="28"/>
      <c r="E96" s="59">
        <f>ROUND(SUM(E92:E95),1)</f>
        <v>480.5</v>
      </c>
      <c r="F96" s="59"/>
      <c r="G96" s="910">
        <f>ROUND(SUM(G92:G95),1)</f>
        <v>336.2</v>
      </c>
      <c r="H96" s="59"/>
      <c r="I96" s="910">
        <f>ROUND(SUM(I92:I95),1)</f>
        <v>807.1</v>
      </c>
      <c r="J96" s="59"/>
      <c r="K96" s="910">
        <f>ROUND(SUM(K92:K95),1)</f>
        <v>290.2</v>
      </c>
      <c r="L96" s="59"/>
      <c r="M96" s="910">
        <f>ROUND(SUM(M92:M95),1)</f>
        <v>577.70000000000005</v>
      </c>
      <c r="N96" s="59"/>
      <c r="O96" s="910">
        <f>ROUND(SUM(O92:O95),1)</f>
        <v>222.7</v>
      </c>
      <c r="P96" s="59"/>
      <c r="Q96" s="910">
        <f>ROUND(SUM(Q92:Q95),1)</f>
        <v>309.89999999999998</v>
      </c>
      <c r="R96" s="59"/>
      <c r="S96" s="109">
        <f>ROUND(SUM(S92:S95),1)</f>
        <v>598.6</v>
      </c>
      <c r="T96" s="59"/>
      <c r="U96" s="109">
        <f>ROUND(SUM(U92:U95),1)</f>
        <v>472</v>
      </c>
      <c r="V96" s="59"/>
      <c r="W96" s="109">
        <f>ROUND(SUM(W92:W95),1)</f>
        <v>343.6</v>
      </c>
      <c r="X96" s="59"/>
      <c r="Y96" s="910">
        <f>ROUND(SUM(Y92:Y95),1)</f>
        <v>0</v>
      </c>
      <c r="Z96" s="59"/>
      <c r="AA96" s="910">
        <f>ROUND(SUM(AA92:AA95),1)</f>
        <v>0</v>
      </c>
      <c r="AB96" s="910"/>
      <c r="AC96" s="910">
        <f>ROUND(SUM(AC92:AC95),1)</f>
        <v>0</v>
      </c>
      <c r="AD96" s="59"/>
      <c r="AE96" s="61"/>
      <c r="AF96" s="109">
        <f>ROUND(SUM(AF92:AF95),1)</f>
        <v>4438.5</v>
      </c>
      <c r="AG96" s="213"/>
      <c r="AH96" s="73"/>
      <c r="AI96" s="109">
        <f>ROUND(SUM(AI92:AI95),1)</f>
        <v>2334.3000000000002</v>
      </c>
      <c r="AJ96" s="73"/>
      <c r="AK96" s="332"/>
      <c r="AL96" s="71">
        <f>ROUND(SUM(AF96-AI96),1)</f>
        <v>2104.1999999999998</v>
      </c>
      <c r="AM96" s="338"/>
      <c r="AN96" s="345">
        <f>ROUND(SUM(AL96/ABS(AI96)),3)</f>
        <v>0.90100000000000002</v>
      </c>
      <c r="AO96" s="327"/>
      <c r="AP96" s="327"/>
      <c r="AQ96" s="327"/>
      <c r="AR96" s="327"/>
    </row>
    <row r="97" spans="1:55" ht="15.6">
      <c r="A97" s="28"/>
      <c r="B97" s="28"/>
      <c r="C97" s="28"/>
      <c r="D97" s="28"/>
      <c r="E97" s="85"/>
      <c r="F97" s="63"/>
      <c r="G97" s="85"/>
      <c r="H97" s="63"/>
      <c r="I97" s="85"/>
      <c r="J97" s="63"/>
      <c r="K97" s="85"/>
      <c r="L97" s="63"/>
      <c r="M97" s="85"/>
      <c r="N97" s="63"/>
      <c r="O97" s="85"/>
      <c r="P97" s="63"/>
      <c r="Q97" s="85"/>
      <c r="R97" s="63"/>
      <c r="S97" s="85"/>
      <c r="T97" s="63"/>
      <c r="U97" s="85"/>
      <c r="V97" s="63"/>
      <c r="W97" s="85"/>
      <c r="X97" s="63"/>
      <c r="Y97" s="85"/>
      <c r="Z97" s="63"/>
      <c r="AA97" s="85"/>
      <c r="AB97" s="53"/>
      <c r="AC97" s="85"/>
      <c r="AD97" s="63"/>
      <c r="AE97" s="54"/>
      <c r="AF97" s="85"/>
      <c r="AG97" s="76"/>
      <c r="AH97" s="53"/>
      <c r="AI97" s="123"/>
      <c r="AJ97" s="53"/>
      <c r="AK97" s="332"/>
      <c r="AL97" s="55"/>
      <c r="AM97" s="322"/>
      <c r="AN97" s="329"/>
    </row>
    <row r="98" spans="1:55" ht="15.6">
      <c r="A98" s="28"/>
      <c r="B98" s="28"/>
      <c r="C98" s="28"/>
      <c r="D98" s="28"/>
      <c r="E98" s="63"/>
      <c r="F98" s="63"/>
      <c r="G98" s="63"/>
      <c r="H98" s="63"/>
      <c r="I98" s="63" t="s">
        <v>14</v>
      </c>
      <c r="J98" s="63"/>
      <c r="K98" s="63" t="s">
        <v>14</v>
      </c>
      <c r="L98" s="63"/>
      <c r="M98" s="63" t="s">
        <v>14</v>
      </c>
      <c r="N98" s="63"/>
      <c r="O98" s="63" t="s">
        <v>14</v>
      </c>
      <c r="P98" s="63"/>
      <c r="Q98" s="63" t="s">
        <v>14</v>
      </c>
      <c r="R98" s="63"/>
      <c r="S98" s="63" t="s">
        <v>14</v>
      </c>
      <c r="T98" s="63"/>
      <c r="U98" s="63" t="s">
        <v>14</v>
      </c>
      <c r="V98" s="63"/>
      <c r="W98" s="63" t="s">
        <v>14</v>
      </c>
      <c r="X98" s="63"/>
      <c r="Y98" s="63" t="s">
        <v>14</v>
      </c>
      <c r="Z98" s="63"/>
      <c r="AA98" s="63" t="s">
        <v>14</v>
      </c>
      <c r="AB98" s="63"/>
      <c r="AC98" s="1511" t="s">
        <v>14</v>
      </c>
      <c r="AD98" s="63"/>
      <c r="AE98" s="54"/>
      <c r="AF98" s="63" t="s">
        <v>14</v>
      </c>
      <c r="AG98" s="76"/>
      <c r="AH98" s="53"/>
      <c r="AI98" s="115" t="s">
        <v>14</v>
      </c>
      <c r="AJ98" s="63"/>
      <c r="AK98" s="332"/>
      <c r="AL98" s="55" t="s">
        <v>14</v>
      </c>
      <c r="AM98" s="322"/>
      <c r="AN98" s="329"/>
    </row>
    <row r="99" spans="1:55" ht="15.6">
      <c r="A99" s="28"/>
      <c r="B99" s="26" t="s">
        <v>207</v>
      </c>
      <c r="C99" s="28"/>
      <c r="D99" s="28"/>
      <c r="E99" s="63"/>
      <c r="F99" s="63"/>
      <c r="G99" s="63"/>
      <c r="H99" s="63"/>
      <c r="I99" s="63" t="s">
        <v>14</v>
      </c>
      <c r="J99" s="63"/>
      <c r="K99" s="63" t="s">
        <v>14</v>
      </c>
      <c r="L99" s="63"/>
      <c r="M99" s="63" t="s">
        <v>14</v>
      </c>
      <c r="N99" s="63"/>
      <c r="O99" s="63" t="s">
        <v>14</v>
      </c>
      <c r="P99" s="63"/>
      <c r="Q99" s="63" t="s">
        <v>14</v>
      </c>
      <c r="R99" s="63"/>
      <c r="S99" s="63" t="s">
        <v>14</v>
      </c>
      <c r="T99" s="63"/>
      <c r="U99" s="63" t="s">
        <v>14</v>
      </c>
      <c r="V99" s="63"/>
      <c r="W99" s="63" t="s">
        <v>14</v>
      </c>
      <c r="X99" s="63"/>
      <c r="Y99" s="63" t="s">
        <v>14</v>
      </c>
      <c r="Z99" s="63"/>
      <c r="AA99" s="63" t="s">
        <v>14</v>
      </c>
      <c r="AB99" s="63"/>
      <c r="AC99" s="63" t="s">
        <v>14</v>
      </c>
      <c r="AD99" s="63"/>
      <c r="AE99" s="54"/>
      <c r="AF99" s="63"/>
      <c r="AG99" s="76"/>
      <c r="AH99" s="53"/>
      <c r="AI99" s="115" t="s">
        <v>14</v>
      </c>
      <c r="AJ99" s="63"/>
      <c r="AK99" s="332"/>
      <c r="AL99" s="55"/>
      <c r="AM99" s="322"/>
      <c r="AN99" s="329"/>
    </row>
    <row r="100" spans="1:55" ht="15.6">
      <c r="A100" s="28"/>
      <c r="B100" s="26" t="s">
        <v>208</v>
      </c>
      <c r="C100" s="28"/>
      <c r="D100" s="28"/>
      <c r="E100" s="59" t="s">
        <v>14</v>
      </c>
      <c r="F100" s="59"/>
      <c r="G100" s="910" t="s">
        <v>14</v>
      </c>
      <c r="H100" s="59"/>
      <c r="I100" s="59"/>
      <c r="J100" s="59"/>
      <c r="K100" s="910"/>
      <c r="L100" s="59"/>
      <c r="M100" s="910"/>
      <c r="N100" s="59"/>
      <c r="O100" s="910"/>
      <c r="P100" s="59"/>
      <c r="Q100" s="910"/>
      <c r="R100" s="59"/>
      <c r="S100" s="910"/>
      <c r="T100" s="59"/>
      <c r="U100" s="910"/>
      <c r="V100" s="59"/>
      <c r="W100" s="910"/>
      <c r="X100" s="59"/>
      <c r="Y100" s="910"/>
      <c r="Z100" s="59"/>
      <c r="AA100" s="910"/>
      <c r="AB100" s="910"/>
      <c r="AC100" s="910"/>
      <c r="AD100" s="59"/>
      <c r="AE100" s="61"/>
      <c r="AF100" s="59" t="s">
        <v>14</v>
      </c>
      <c r="AG100" s="213"/>
      <c r="AH100" s="73"/>
      <c r="AI100" s="3403"/>
      <c r="AJ100" s="343"/>
      <c r="AK100" s="342"/>
      <c r="AL100" s="343"/>
      <c r="AM100" s="338"/>
      <c r="AN100" s="326"/>
      <c r="AO100" s="327"/>
      <c r="AP100" s="327"/>
      <c r="AQ100" s="327"/>
      <c r="AR100" s="327"/>
      <c r="AS100" s="327"/>
      <c r="AT100" s="327"/>
      <c r="AU100" s="327"/>
      <c r="AV100" s="327"/>
      <c r="AW100" s="327"/>
      <c r="AX100" s="327"/>
      <c r="AY100" s="327"/>
    </row>
    <row r="101" spans="1:55" ht="15.6">
      <c r="A101" s="28"/>
      <c r="B101" s="26" t="s">
        <v>1085</v>
      </c>
      <c r="C101" s="28"/>
      <c r="D101" s="28"/>
      <c r="E101" s="344">
        <f>ROUND(SUM(E89+E96),1)</f>
        <v>22.2</v>
      </c>
      <c r="F101" s="59"/>
      <c r="G101" s="344">
        <f>ROUND(SUM(G89+G96),1)</f>
        <v>-225.1</v>
      </c>
      <c r="H101" s="59"/>
      <c r="I101" s="344">
        <f>ROUND(SUM(I89+I96),1)</f>
        <v>-214.8</v>
      </c>
      <c r="J101" s="59"/>
      <c r="K101" s="344">
        <f>ROUND(SUM(K89+K96),1)</f>
        <v>-144.5</v>
      </c>
      <c r="L101" s="59"/>
      <c r="M101" s="344">
        <f>ROUND(SUM(M89+M96),1)</f>
        <v>-92.4</v>
      </c>
      <c r="N101" s="59"/>
      <c r="O101" s="344">
        <f>ROUND(SUM(O89+O96),1)</f>
        <v>-391.1</v>
      </c>
      <c r="P101" s="59"/>
      <c r="Q101" s="344">
        <f>ROUND(SUM(Q89+Q96),1)</f>
        <v>631.70000000000005</v>
      </c>
      <c r="R101" s="59"/>
      <c r="S101" s="344">
        <f>ROUND(SUM(S89+S96),1)</f>
        <v>-8.8000000000000007</v>
      </c>
      <c r="T101" s="59"/>
      <c r="U101" s="344">
        <f>ROUND(SUM(U89+U96),1)</f>
        <v>-96.5</v>
      </c>
      <c r="V101" s="59"/>
      <c r="W101" s="344">
        <f>ROUND(SUM(W89+W96),1)</f>
        <v>49</v>
      </c>
      <c r="X101" s="59"/>
      <c r="Y101" s="344">
        <f>ROUND(SUM(Y89+Y96),1)</f>
        <v>0</v>
      </c>
      <c r="Z101" s="59"/>
      <c r="AA101" s="344">
        <f>ROUND(SUM(AA89+AA96),1)</f>
        <v>0</v>
      </c>
      <c r="AB101" s="1930"/>
      <c r="AC101" s="344">
        <f>ROUND(SUM(AC89+AC96),1)</f>
        <v>0</v>
      </c>
      <c r="AD101" s="59"/>
      <c r="AE101" s="61"/>
      <c r="AF101" s="344">
        <f>ROUND(AF89+AF96,1)</f>
        <v>-470.3</v>
      </c>
      <c r="AG101" s="213"/>
      <c r="AH101" s="73"/>
      <c r="AI101" s="3761">
        <f>ROUND(SUM(AI89+AI96),1)</f>
        <v>-229</v>
      </c>
      <c r="AJ101" s="343"/>
      <c r="AK101" s="342"/>
      <c r="AL101" s="344">
        <f>ROUND(SUM(+AF101-AI101),1)</f>
        <v>-241.3</v>
      </c>
      <c r="AM101" s="338"/>
      <c r="AN101" s="1597">
        <f>ROUND(IF(AI101=0,0,AL101/ABS(AI101)),3)</f>
        <v>-1.054</v>
      </c>
      <c r="AO101" s="327"/>
      <c r="AP101" s="346"/>
      <c r="AQ101" s="327"/>
      <c r="AR101" s="327"/>
      <c r="AS101" s="327"/>
      <c r="AT101" s="327"/>
      <c r="AU101" s="327"/>
      <c r="AV101" s="327"/>
      <c r="AW101" s="327"/>
      <c r="AX101" s="327"/>
      <c r="AY101" s="327"/>
    </row>
    <row r="102" spans="1:55">
      <c r="A102" s="28"/>
      <c r="B102" s="28" t="s">
        <v>14</v>
      </c>
      <c r="C102" s="28"/>
      <c r="D102" s="28"/>
      <c r="E102" s="33"/>
      <c r="F102" s="33"/>
      <c r="G102" s="33"/>
      <c r="H102" s="33"/>
      <c r="I102" s="33"/>
      <c r="J102" s="33"/>
      <c r="K102" s="33"/>
      <c r="L102" s="33"/>
      <c r="M102" s="33"/>
      <c r="N102" s="33"/>
      <c r="O102" s="33"/>
      <c r="P102" s="33"/>
      <c r="Q102" s="33"/>
      <c r="R102" s="33"/>
      <c r="S102" s="284" t="s">
        <v>14</v>
      </c>
      <c r="T102" s="33"/>
      <c r="U102" s="284" t="s">
        <v>14</v>
      </c>
      <c r="V102" s="33"/>
      <c r="W102" s="284" t="s">
        <v>14</v>
      </c>
      <c r="X102" s="33"/>
      <c r="Y102" s="284" t="s">
        <v>14</v>
      </c>
      <c r="Z102" s="33"/>
      <c r="AA102" s="33"/>
      <c r="AB102" s="33"/>
      <c r="AC102" s="33"/>
      <c r="AD102" s="96"/>
      <c r="AE102" s="347"/>
      <c r="AF102" s="33"/>
      <c r="AG102" s="96"/>
      <c r="AH102" s="347"/>
      <c r="AI102" s="984" t="s">
        <v>182</v>
      </c>
      <c r="AJ102" s="271"/>
      <c r="AK102" s="34"/>
      <c r="AL102" s="322"/>
      <c r="AM102" s="322"/>
      <c r="AN102" s="329"/>
      <c r="AO102" s="322"/>
      <c r="AP102" s="322"/>
    </row>
    <row r="103" spans="1:55" s="27" customFormat="1" ht="15" customHeight="1" thickBot="1">
      <c r="A103" s="28"/>
      <c r="B103" s="26" t="s">
        <v>1095</v>
      </c>
      <c r="C103" s="28"/>
      <c r="E103" s="264">
        <f>ROUND(SUM(+E101+E15),1)</f>
        <v>-1121.8</v>
      </c>
      <c r="F103" s="91"/>
      <c r="G103" s="264">
        <f>ROUND(SUM(+G101+G15),1)</f>
        <v>-1346.9</v>
      </c>
      <c r="H103" s="91"/>
      <c r="I103" s="264">
        <f>ROUND(SUM(+I101+I15),1)</f>
        <v>-1561.7</v>
      </c>
      <c r="J103" s="91"/>
      <c r="K103" s="264">
        <f>ROUND(SUM(+K101+K15),1)</f>
        <v>-1706.2</v>
      </c>
      <c r="L103" s="91"/>
      <c r="M103" s="264">
        <f>ROUND(SUM(+M101+M15),1)</f>
        <v>-1798.6</v>
      </c>
      <c r="N103" s="91"/>
      <c r="O103" s="264">
        <f>ROUND(SUM(+O101+O15),1)</f>
        <v>-2189.6999999999998</v>
      </c>
      <c r="P103" s="91"/>
      <c r="Q103" s="264">
        <f>ROUND(SUM(+Q101+Q15),1)</f>
        <v>-1558</v>
      </c>
      <c r="R103" s="91"/>
      <c r="S103" s="264">
        <f>ROUND(SUM(+S101+S15),1)</f>
        <v>-1566.8</v>
      </c>
      <c r="T103" s="91"/>
      <c r="U103" s="264">
        <f>ROUND(SUM(+U101+U15),1)</f>
        <v>-1663.3</v>
      </c>
      <c r="V103" s="91"/>
      <c r="W103" s="264">
        <f>ROUND(SUM(+W101+W15),1)</f>
        <v>-1614.3</v>
      </c>
      <c r="X103" s="91"/>
      <c r="Y103" s="264">
        <f>ROUND(SUM(+Y101+Y15),1)</f>
        <v>0</v>
      </c>
      <c r="Z103" s="91"/>
      <c r="AA103" s="264">
        <f>ROUND(SUM(+AA101+AA15),1)</f>
        <v>0</v>
      </c>
      <c r="AB103" s="216"/>
      <c r="AC103" s="264">
        <f>ROUND(SUM(+AC101+AC15),1)</f>
        <v>0</v>
      </c>
      <c r="AD103" s="91"/>
      <c r="AE103" s="92"/>
      <c r="AF103" s="264">
        <f>ROUND(SUM(+AF101+AF15),1)</f>
        <v>-1614.3</v>
      </c>
      <c r="AG103" s="91"/>
      <c r="AH103" s="92"/>
      <c r="AI103" s="259">
        <f>ROUND(SUM(+AI101+AI15),1)</f>
        <v>-1263.9000000000001</v>
      </c>
      <c r="AJ103" s="269"/>
      <c r="AK103" s="216"/>
      <c r="AL103" s="264">
        <f>ROUND(SUM(+AL101+AL15),1)</f>
        <v>-350.4</v>
      </c>
      <c r="AM103" s="179"/>
      <c r="AN103" s="283">
        <f>ROUND(SUM(-(+AF103-AI103)/AI103),3)</f>
        <v>-0.27700000000000002</v>
      </c>
      <c r="AO103" s="338"/>
      <c r="AP103" s="338"/>
      <c r="AQ103" s="327"/>
      <c r="AR103" s="327"/>
      <c r="AS103" s="265"/>
      <c r="AT103" s="265"/>
      <c r="AU103" s="265"/>
      <c r="AV103" s="265"/>
      <c r="AW103" s="265"/>
      <c r="AX103" s="265"/>
      <c r="AY103" s="265"/>
      <c r="AZ103" s="265"/>
      <c r="BA103" s="265"/>
      <c r="BB103" s="265"/>
      <c r="BC103" s="265"/>
    </row>
    <row r="104" spans="1:55" ht="15.6" thickTop="1">
      <c r="B104" s="217"/>
    </row>
    <row r="105" spans="1:55">
      <c r="B105" s="1187" t="s">
        <v>1187</v>
      </c>
      <c r="C105" s="349"/>
      <c r="D105" s="349"/>
      <c r="E105" s="350"/>
      <c r="F105" s="350"/>
      <c r="G105" s="350"/>
      <c r="AI105" s="3404"/>
      <c r="AL105" s="164"/>
    </row>
    <row r="106" spans="1:55">
      <c r="B106" s="348"/>
      <c r="C106" s="349"/>
      <c r="D106" s="349"/>
      <c r="E106" s="350"/>
      <c r="F106" s="350"/>
      <c r="G106" s="350"/>
      <c r="AL106" s="164"/>
    </row>
    <row r="107" spans="1:55">
      <c r="B107" s="351"/>
      <c r="AL107" s="164"/>
    </row>
    <row r="108" spans="1:55">
      <c r="B108" s="351"/>
    </row>
    <row r="109" spans="1:55">
      <c r="B109" s="348"/>
    </row>
    <row r="110" spans="1:55">
      <c r="B110" s="351"/>
    </row>
    <row r="111" spans="1:55">
      <c r="B111" s="351"/>
    </row>
    <row r="112" spans="1:55">
      <c r="B112" s="348"/>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160" workbookViewId="0"/>
  </sheetViews>
  <sheetFormatPr defaultColWidth="8.81640625" defaultRowHeight="15"/>
  <cols>
    <col min="1" max="1" width="2.54296875" style="2534" customWidth="1"/>
    <col min="2" max="2" width="14.08984375" style="2534" customWidth="1"/>
    <col min="3" max="3" width="26.08984375" style="2534" customWidth="1"/>
    <col min="4" max="4" width="2" style="2534" customWidth="1"/>
    <col min="5" max="5" width="11.08984375" style="2534" bestFit="1" customWidth="1"/>
    <col min="6" max="6" width="1.81640625" style="2534" customWidth="1"/>
    <col min="7" max="7" width="11.81640625" style="2534" customWidth="1"/>
    <col min="8" max="8" width="1.81640625" style="2534" customWidth="1"/>
    <col min="9" max="9" width="11.08984375" style="2534" bestFit="1" customWidth="1"/>
    <col min="10" max="10" width="1.81640625" style="2534" customWidth="1"/>
    <col min="11" max="11" width="12" style="2534" customWidth="1"/>
    <col min="12" max="12" width="1.08984375" style="2534" customWidth="1"/>
    <col min="13" max="13" width="10.08984375" style="2534" bestFit="1" customWidth="1"/>
    <col min="14" max="14" width="1.81640625" style="2534" customWidth="1"/>
    <col min="15" max="15" width="11.08984375" style="2534" customWidth="1"/>
    <col min="16" max="16" width="1.81640625" style="2534" customWidth="1"/>
    <col min="17" max="17" width="12.81640625" style="2534" customWidth="1"/>
    <col min="18" max="18" width="1.81640625" style="2534" customWidth="1"/>
    <col min="19" max="19" width="10.54296875" style="2534" customWidth="1"/>
    <col min="20" max="20" width="1.81640625" style="2534" customWidth="1"/>
    <col min="21" max="21" width="10.81640625" style="2534" customWidth="1"/>
    <col min="22" max="22" width="1.81640625" style="2534" customWidth="1"/>
    <col min="23" max="23" width="10.81640625" style="2534" customWidth="1"/>
    <col min="24" max="24" width="1.81640625" style="2534" customWidth="1"/>
    <col min="25" max="25" width="10.81640625" style="2534" customWidth="1"/>
    <col min="26" max="26" width="1.81640625" style="2534" customWidth="1"/>
    <col min="27" max="27" width="9" style="2534" bestFit="1" customWidth="1"/>
    <col min="28" max="29" width="1.81640625" style="2534" customWidth="1"/>
    <col min="30" max="30" width="11.08984375" style="2534" bestFit="1" customWidth="1"/>
    <col min="31" max="32" width="1.08984375" style="2534" customWidth="1"/>
    <col min="33" max="33" width="11.08984375" style="2534" customWidth="1"/>
    <col min="34" max="35" width="1" style="2534" customWidth="1"/>
    <col min="36" max="36" width="13.453125" style="2534" bestFit="1" customWidth="1"/>
    <col min="37" max="37" width="1.08984375" style="2534" customWidth="1"/>
    <col min="38" max="38" width="12.81640625" style="2534" customWidth="1"/>
    <col min="39" max="40" width="8.81640625" style="2534"/>
    <col min="41" max="41" width="19.81640625" style="2534" bestFit="1" customWidth="1"/>
    <col min="42" max="16384" width="8.81640625" style="2534"/>
  </cols>
  <sheetData>
    <row r="1" spans="1:39">
      <c r="B1" s="2304" t="s">
        <v>881</v>
      </c>
    </row>
    <row r="2" spans="1:39">
      <c r="B2" s="3582"/>
    </row>
    <row r="3" spans="1:39" ht="19.5" customHeight="1">
      <c r="A3" s="3583"/>
      <c r="B3" s="1457" t="s">
        <v>0</v>
      </c>
      <c r="C3" s="2535"/>
      <c r="D3" s="2535"/>
      <c r="E3" s="2535"/>
      <c r="F3" s="2536"/>
      <c r="G3" s="2536"/>
      <c r="H3" s="2536"/>
      <c r="I3" s="2536"/>
      <c r="J3" s="2536"/>
      <c r="K3" s="2536"/>
      <c r="L3" s="2536"/>
      <c r="M3" s="2536"/>
      <c r="N3" s="2536"/>
      <c r="O3" s="2536"/>
      <c r="P3" s="2536"/>
      <c r="Q3" s="2536"/>
      <c r="R3" s="2536"/>
      <c r="S3" s="2536"/>
      <c r="T3" s="2536"/>
      <c r="U3" s="2536"/>
      <c r="V3" s="2536"/>
      <c r="W3" s="2536"/>
      <c r="X3" s="2536"/>
      <c r="Y3" s="2536"/>
      <c r="Z3" s="2536"/>
      <c r="AA3" s="2536"/>
      <c r="AB3" s="2536"/>
      <c r="AC3" s="2536"/>
      <c r="AD3" s="2536"/>
      <c r="AE3" s="2536"/>
      <c r="AF3" s="2536"/>
      <c r="AG3" s="2536"/>
      <c r="AH3" s="2536"/>
      <c r="AI3" s="2536"/>
      <c r="AL3" s="3051" t="s">
        <v>193</v>
      </c>
    </row>
    <row r="4" spans="1:39" ht="19.5" customHeight="1">
      <c r="A4" s="3583"/>
      <c r="B4" s="1457" t="s">
        <v>209</v>
      </c>
      <c r="C4" s="2535"/>
      <c r="D4" s="2535"/>
      <c r="E4" s="2535"/>
      <c r="F4" s="2536"/>
      <c r="G4" s="2536"/>
      <c r="H4" s="2536"/>
      <c r="I4" s="2536"/>
      <c r="J4" s="2536"/>
      <c r="K4" s="2536"/>
      <c r="L4" s="2536"/>
      <c r="M4" s="2536"/>
      <c r="N4" s="2536"/>
      <c r="O4" s="2536"/>
      <c r="P4" s="2536"/>
      <c r="Q4" s="2536"/>
      <c r="R4" s="2536"/>
      <c r="S4" s="2536"/>
      <c r="T4" s="2536"/>
      <c r="U4" s="2536"/>
      <c r="V4" s="2536"/>
      <c r="W4" s="2536"/>
      <c r="X4" s="2536"/>
      <c r="Y4" s="2536"/>
      <c r="Z4" s="2536"/>
      <c r="AA4" s="2536"/>
      <c r="AB4" s="2536"/>
      <c r="AC4" s="2536"/>
      <c r="AE4" s="3126"/>
      <c r="AF4" s="3126"/>
    </row>
    <row r="5" spans="1:39" ht="19.5" customHeight="1">
      <c r="A5" s="3583"/>
      <c r="B5" s="1458" t="s">
        <v>147</v>
      </c>
      <c r="C5" s="2535"/>
      <c r="D5" s="2535"/>
      <c r="E5" s="2535"/>
      <c r="F5" s="2536"/>
      <c r="G5" s="2536"/>
      <c r="H5" s="2536"/>
      <c r="I5" s="2536"/>
      <c r="J5" s="2536"/>
      <c r="K5" s="2536"/>
      <c r="L5" s="2536"/>
      <c r="M5" s="2536"/>
      <c r="N5" s="2536"/>
      <c r="O5" s="2536"/>
      <c r="P5" s="2536"/>
      <c r="Q5" s="2536"/>
      <c r="R5" s="2536"/>
      <c r="S5" s="2536"/>
      <c r="T5" s="2536"/>
      <c r="U5" s="2536"/>
      <c r="V5" s="2536"/>
      <c r="W5" s="2536"/>
      <c r="X5" s="2536"/>
      <c r="Y5" s="2536"/>
      <c r="Z5" s="2536"/>
      <c r="AA5" s="2536"/>
      <c r="AB5" s="2536"/>
      <c r="AC5" s="2536"/>
      <c r="AD5" s="2536"/>
      <c r="AE5" s="2536"/>
      <c r="AF5" s="2536"/>
      <c r="AG5" s="2536"/>
      <c r="AH5" s="2536"/>
      <c r="AI5" s="2536"/>
      <c r="AL5" s="3584"/>
    </row>
    <row r="6" spans="1:39" ht="19.5" customHeight="1">
      <c r="A6" s="3583"/>
      <c r="B6" s="1458" t="str">
        <f>'Cashflow Governmental'!A6</f>
        <v xml:space="preserve">FISCAL YEAR 2021-2022   </v>
      </c>
      <c r="C6" s="2535"/>
      <c r="D6" s="2535"/>
      <c r="E6" s="2535"/>
      <c r="F6" s="2536"/>
      <c r="G6" s="2536"/>
      <c r="H6" s="2537"/>
      <c r="I6" s="2536"/>
      <c r="J6" s="2536"/>
      <c r="K6" s="2536"/>
      <c r="L6" s="2536"/>
      <c r="M6" s="2536"/>
      <c r="N6" s="2536"/>
      <c r="O6" s="2536"/>
      <c r="P6" s="2536"/>
      <c r="Q6" s="2536"/>
      <c r="R6" s="2536"/>
      <c r="S6" s="2536"/>
      <c r="T6" s="2536"/>
      <c r="U6" s="2536"/>
      <c r="V6" s="2536"/>
      <c r="W6" s="2536"/>
      <c r="X6" s="2536"/>
      <c r="Y6" s="2536"/>
      <c r="Z6" s="2536"/>
      <c r="AA6" s="2536"/>
      <c r="AB6" s="2536"/>
      <c r="AC6" s="2536"/>
      <c r="AD6" s="2536"/>
      <c r="AE6" s="2538"/>
      <c r="AF6" s="2538"/>
      <c r="AG6" s="2538"/>
      <c r="AH6" s="2538"/>
      <c r="AI6" s="2538"/>
    </row>
    <row r="7" spans="1:39" ht="19.5" customHeight="1">
      <c r="A7" s="3583"/>
      <c r="B7" s="1457" t="s">
        <v>1264</v>
      </c>
      <c r="C7" s="2535"/>
      <c r="D7" s="2535"/>
      <c r="E7" s="2535"/>
      <c r="F7" s="2536"/>
      <c r="G7" s="2536"/>
      <c r="H7" s="2537"/>
      <c r="I7" s="2536"/>
      <c r="J7" s="2536"/>
      <c r="K7" s="2536"/>
      <c r="L7" s="2536"/>
      <c r="M7" s="2536"/>
      <c r="N7" s="2536"/>
      <c r="O7" s="2536"/>
      <c r="P7" s="2536"/>
      <c r="Q7" s="2536"/>
      <c r="R7" s="2536"/>
      <c r="S7" s="2536"/>
      <c r="T7" s="2536"/>
      <c r="U7" s="2536"/>
      <c r="V7" s="2536"/>
      <c r="W7" s="2536"/>
      <c r="X7" s="2536"/>
      <c r="Y7" s="2536"/>
      <c r="Z7" s="2536"/>
      <c r="AA7" s="2536"/>
      <c r="AB7" s="2536"/>
      <c r="AC7" s="2536"/>
      <c r="AD7" s="2536"/>
      <c r="AE7" s="2538"/>
      <c r="AF7" s="2538"/>
      <c r="AG7" s="2538"/>
      <c r="AH7" s="2538"/>
      <c r="AI7" s="2538"/>
    </row>
    <row r="8" spans="1:39" ht="19.5" customHeight="1">
      <c r="A8" s="3583"/>
      <c r="C8" s="2535"/>
      <c r="D8" s="2535"/>
      <c r="E8" s="2535"/>
      <c r="F8" s="2536"/>
      <c r="G8" s="2536"/>
      <c r="H8" s="2536"/>
      <c r="I8" s="2536"/>
      <c r="J8" s="2536"/>
      <c r="K8" s="2536"/>
      <c r="L8" s="2536"/>
      <c r="M8" s="2536"/>
      <c r="N8" s="2536"/>
      <c r="O8" s="2536"/>
      <c r="P8" s="2536"/>
      <c r="Q8" s="2536"/>
      <c r="R8" s="2536"/>
      <c r="S8" s="2536"/>
      <c r="T8" s="2536"/>
      <c r="U8" s="2536"/>
      <c r="V8" s="2536"/>
      <c r="W8" s="2536"/>
      <c r="X8" s="2536"/>
      <c r="Y8" s="2536"/>
      <c r="Z8" s="2536"/>
      <c r="AA8" s="2536"/>
      <c r="AB8" s="2536"/>
      <c r="AC8" s="2539"/>
    </row>
    <row r="9" spans="1:39" ht="15.75" customHeight="1">
      <c r="A9" s="3583"/>
      <c r="B9" s="1457"/>
      <c r="C9" s="2535"/>
      <c r="D9" s="2535"/>
      <c r="E9" s="2535"/>
      <c r="F9" s="2536"/>
      <c r="G9" s="2536"/>
      <c r="H9" s="2536"/>
      <c r="I9" s="2536"/>
      <c r="J9" s="2536"/>
      <c r="K9" s="2536"/>
      <c r="L9" s="2536"/>
      <c r="M9" s="2536"/>
      <c r="N9" s="2536"/>
      <c r="O9" s="2536"/>
      <c r="P9" s="2536"/>
      <c r="Q9" s="2536"/>
      <c r="R9" s="2536"/>
      <c r="S9" s="2536"/>
      <c r="T9" s="2536"/>
      <c r="U9" s="2536"/>
      <c r="V9" s="2536"/>
      <c r="W9" s="2536"/>
      <c r="X9" s="2536"/>
      <c r="Y9" s="2536"/>
      <c r="Z9" s="2536"/>
      <c r="AA9" s="2536"/>
      <c r="AB9" s="2536"/>
      <c r="AC9" s="2539"/>
    </row>
    <row r="10" spans="1:39" ht="15.75" customHeight="1">
      <c r="A10" s="3583"/>
      <c r="B10" s="3585"/>
      <c r="C10" s="2535"/>
      <c r="D10" s="2535"/>
      <c r="E10" s="2535"/>
      <c r="F10" s="2536"/>
      <c r="G10" s="2536"/>
      <c r="H10" s="2536"/>
      <c r="I10" s="2536"/>
      <c r="J10" s="2536"/>
      <c r="K10" s="2536"/>
      <c r="L10" s="2536"/>
      <c r="M10" s="2536"/>
      <c r="N10" s="2536"/>
      <c r="O10" s="2536"/>
      <c r="P10" s="2536"/>
      <c r="Q10" s="2536"/>
      <c r="R10" s="2536"/>
      <c r="S10" s="2536"/>
      <c r="T10" s="2536"/>
      <c r="U10" s="2536"/>
      <c r="V10" s="2536"/>
      <c r="W10" s="2536"/>
      <c r="X10" s="2536"/>
      <c r="Y10" s="2536"/>
      <c r="Z10" s="2536"/>
      <c r="AA10" s="2536"/>
      <c r="AB10" s="2536"/>
      <c r="AC10" s="2539"/>
      <c r="AD10" s="3982" t="s">
        <v>1572</v>
      </c>
      <c r="AE10" s="3982"/>
      <c r="AF10" s="3982"/>
      <c r="AG10" s="3982"/>
      <c r="AH10" s="3982"/>
      <c r="AI10" s="3982"/>
      <c r="AJ10" s="3982"/>
      <c r="AK10" s="3982"/>
      <c r="AL10" s="3982"/>
    </row>
    <row r="11" spans="1:39" ht="15.75" customHeight="1">
      <c r="A11" s="3586"/>
      <c r="B11" s="3586"/>
      <c r="C11" s="3586"/>
      <c r="D11" s="3586"/>
      <c r="E11" s="2540" t="str">
        <f>'Cashflow Governmental'!C13</f>
        <v>2021</v>
      </c>
      <c r="F11" s="2541"/>
      <c r="G11" s="2541"/>
      <c r="H11" s="2541"/>
      <c r="I11" s="2541"/>
      <c r="J11" s="2541"/>
      <c r="K11" s="2541"/>
      <c r="L11" s="2541"/>
      <c r="M11" s="2541"/>
      <c r="N11" s="2541"/>
      <c r="O11" s="2541"/>
      <c r="P11" s="2541"/>
      <c r="Q11" s="2541"/>
      <c r="R11" s="2541"/>
      <c r="S11" s="2541"/>
      <c r="T11" s="2541"/>
      <c r="U11" s="2541"/>
      <c r="V11" s="2541"/>
      <c r="W11" s="2540">
        <f>'Cashflow Governmental'!U13</f>
        <v>2022</v>
      </c>
      <c r="X11" s="2541"/>
      <c r="Y11" s="2541"/>
      <c r="Z11" s="2541"/>
      <c r="AA11" s="2541"/>
      <c r="AB11" s="2541"/>
      <c r="AC11" s="2541"/>
      <c r="AD11" s="2542"/>
      <c r="AE11" s="2542"/>
      <c r="AF11" s="2542"/>
      <c r="AG11" s="2542"/>
      <c r="AH11" s="2542"/>
      <c r="AI11" s="2542"/>
      <c r="AJ11" s="2543" t="s">
        <v>7</v>
      </c>
      <c r="AK11" s="2543"/>
      <c r="AL11" s="3587" t="s">
        <v>8</v>
      </c>
      <c r="AM11" s="3588"/>
    </row>
    <row r="12" spans="1:39" ht="15.75" customHeight="1">
      <c r="A12" s="2420"/>
      <c r="B12" s="2420"/>
      <c r="C12" s="2420"/>
      <c r="D12" s="2420"/>
      <c r="E12" s="2544" t="s">
        <v>123</v>
      </c>
      <c r="F12" s="2507"/>
      <c r="G12" s="2544" t="s">
        <v>124</v>
      </c>
      <c r="H12" s="2507"/>
      <c r="I12" s="2544" t="s">
        <v>125</v>
      </c>
      <c r="J12" s="2507"/>
      <c r="K12" s="2544" t="s">
        <v>126</v>
      </c>
      <c r="L12" s="2507"/>
      <c r="M12" s="2544" t="s">
        <v>127</v>
      </c>
      <c r="N12" s="2507"/>
      <c r="O12" s="2544" t="s">
        <v>142</v>
      </c>
      <c r="P12" s="2507"/>
      <c r="Q12" s="2544" t="s">
        <v>143</v>
      </c>
      <c r="R12" s="2507"/>
      <c r="S12" s="2544" t="s">
        <v>130</v>
      </c>
      <c r="T12" s="2507"/>
      <c r="U12" s="2544" t="s">
        <v>131</v>
      </c>
      <c r="V12" s="2507"/>
      <c r="W12" s="2544" t="s">
        <v>132</v>
      </c>
      <c r="X12" s="2507"/>
      <c r="Y12" s="2544" t="s">
        <v>133</v>
      </c>
      <c r="Z12" s="2507"/>
      <c r="AA12" s="2544" t="s">
        <v>184</v>
      </c>
      <c r="AB12" s="2507"/>
      <c r="AC12" s="2507"/>
      <c r="AD12" s="2544">
        <f>'Cashflow Governmental'!AB14</f>
        <v>2022</v>
      </c>
      <c r="AE12" s="2507"/>
      <c r="AF12" s="2507"/>
      <c r="AG12" s="2544">
        <f>'Cashflow Governmental'!AE14</f>
        <v>2021</v>
      </c>
      <c r="AH12" s="2545"/>
      <c r="AI12" s="2545"/>
      <c r="AJ12" s="2546" t="s">
        <v>11</v>
      </c>
      <c r="AK12" s="3589"/>
      <c r="AL12" s="2546" t="s">
        <v>12</v>
      </c>
      <c r="AM12" s="3588"/>
    </row>
    <row r="13" spans="1:39" ht="5.25" customHeight="1">
      <c r="A13" s="2420"/>
      <c r="B13" s="2507"/>
      <c r="C13" s="2507"/>
      <c r="D13" s="2420"/>
      <c r="E13" s="1970"/>
      <c r="F13" s="1970"/>
      <c r="G13" s="1970"/>
      <c r="H13" s="1970"/>
      <c r="I13" s="1970"/>
      <c r="J13" s="1970"/>
      <c r="K13" s="1970"/>
      <c r="L13" s="1970"/>
      <c r="M13" s="1970"/>
      <c r="N13" s="1970"/>
      <c r="O13" s="1970"/>
      <c r="P13" s="1970"/>
      <c r="Q13" s="1970"/>
      <c r="R13" s="1970"/>
      <c r="S13" s="1970"/>
      <c r="T13" s="1970"/>
      <c r="U13" s="1970"/>
      <c r="V13" s="1970"/>
      <c r="W13" s="1970"/>
      <c r="X13" s="1970"/>
      <c r="Y13" s="1970"/>
      <c r="Z13" s="1970"/>
      <c r="AA13" s="1970"/>
      <c r="AB13" s="1970"/>
      <c r="AC13" s="1975"/>
      <c r="AD13" s="1970"/>
      <c r="AE13" s="1970"/>
      <c r="AF13" s="2164"/>
      <c r="AG13" s="1970"/>
      <c r="AH13" s="1970"/>
      <c r="AI13" s="2547"/>
      <c r="AJ13" s="2548"/>
      <c r="AK13" s="2548"/>
      <c r="AL13" s="2548"/>
    </row>
    <row r="14" spans="1:39" ht="15.6">
      <c r="A14" s="2420"/>
      <c r="B14" s="1830" t="s">
        <v>1160</v>
      </c>
      <c r="C14" s="2507"/>
      <c r="D14" s="2420"/>
      <c r="E14" s="2408">
        <v>-563.70000000000005</v>
      </c>
      <c r="F14" s="1970"/>
      <c r="G14" s="2008">
        <f>E102</f>
        <v>-494.1</v>
      </c>
      <c r="H14" s="2549"/>
      <c r="I14" s="2008">
        <f>G102</f>
        <v>-618.79999999999995</v>
      </c>
      <c r="J14" s="2549"/>
      <c r="K14" s="2008">
        <f>I102</f>
        <v>-705.9</v>
      </c>
      <c r="L14" s="2549"/>
      <c r="M14" s="2008">
        <f>K102</f>
        <v>-804</v>
      </c>
      <c r="N14" s="1970"/>
      <c r="O14" s="2008">
        <f>M102</f>
        <v>-893.1</v>
      </c>
      <c r="P14" s="1970"/>
      <c r="Q14" s="2008">
        <f>O102</f>
        <v>-1184.5</v>
      </c>
      <c r="R14" s="2008"/>
      <c r="S14" s="2008">
        <f>Q102</f>
        <v>-459.6</v>
      </c>
      <c r="T14" s="2008"/>
      <c r="U14" s="2008">
        <f>S102</f>
        <v>-606.79999999999995</v>
      </c>
      <c r="V14" s="2008"/>
      <c r="W14" s="2008">
        <f>U102</f>
        <v>-730.7</v>
      </c>
      <c r="X14" s="2008"/>
      <c r="Y14" s="2008"/>
      <c r="Z14" s="2008"/>
      <c r="AA14" s="2008"/>
      <c r="AB14" s="1970"/>
      <c r="AC14" s="1975"/>
      <c r="AD14" s="2008">
        <f>E14</f>
        <v>-563.70000000000005</v>
      </c>
      <c r="AE14" s="1970"/>
      <c r="AF14" s="2164"/>
      <c r="AG14" s="3395">
        <v>-472.2</v>
      </c>
      <c r="AH14" s="1970"/>
      <c r="AI14" s="2547"/>
      <c r="AJ14" s="2008">
        <f>ROUND(AD14-AG14,1)</f>
        <v>-91.5</v>
      </c>
      <c r="AK14" s="2550"/>
      <c r="AL14" s="2551">
        <f>ROUND(IF(AG14=0,0,AJ14/ABS(AG14)),3)</f>
        <v>-0.19400000000000001</v>
      </c>
    </row>
    <row r="15" spans="1:39" ht="15.6">
      <c r="A15" s="2420"/>
      <c r="B15" s="2507"/>
      <c r="C15" s="2507"/>
      <c r="D15" s="2420"/>
      <c r="E15" s="1970"/>
      <c r="F15" s="1970"/>
      <c r="G15" s="1970"/>
      <c r="H15" s="1970"/>
      <c r="I15" s="1970"/>
      <c r="J15" s="1970"/>
      <c r="K15" s="1970"/>
      <c r="L15" s="1970"/>
      <c r="M15" s="1970"/>
      <c r="N15" s="1970"/>
      <c r="O15" s="1970"/>
      <c r="P15" s="1970"/>
      <c r="Q15" s="1970"/>
      <c r="R15" s="1970"/>
      <c r="S15" s="1970"/>
      <c r="T15" s="1970"/>
      <c r="U15" s="1970"/>
      <c r="V15" s="1970"/>
      <c r="W15" s="1970"/>
      <c r="X15" s="1970"/>
      <c r="Y15" s="1970"/>
      <c r="Z15" s="1970"/>
      <c r="AA15" s="1970"/>
      <c r="AB15" s="1970"/>
      <c r="AC15" s="1975"/>
      <c r="AD15" s="1970"/>
      <c r="AE15" s="1970"/>
      <c r="AF15" s="2164"/>
      <c r="AG15" s="1970"/>
      <c r="AH15" s="1970"/>
      <c r="AI15" s="2547"/>
      <c r="AJ15" s="2548"/>
      <c r="AK15" s="2548"/>
      <c r="AL15" s="2548"/>
    </row>
    <row r="16" spans="1:39" ht="15.6">
      <c r="A16" s="2420"/>
      <c r="B16" s="2507" t="s">
        <v>194</v>
      </c>
      <c r="C16" s="2420"/>
      <c r="D16" s="2420"/>
      <c r="E16" s="1970"/>
      <c r="F16" s="1970"/>
      <c r="G16" s="1970"/>
      <c r="H16" s="1970"/>
      <c r="I16" s="1970"/>
      <c r="J16" s="1970"/>
      <c r="K16" s="1970"/>
      <c r="L16" s="1970"/>
      <c r="M16" s="1970"/>
      <c r="N16" s="1970"/>
      <c r="O16" s="1970"/>
      <c r="P16" s="1970"/>
      <c r="Q16" s="1970"/>
      <c r="R16" s="1970"/>
      <c r="S16" s="1970"/>
      <c r="T16" s="1970"/>
      <c r="U16" s="1970"/>
      <c r="V16" s="1970"/>
      <c r="W16" s="1970"/>
      <c r="X16" s="1970"/>
      <c r="Y16" s="1970"/>
      <c r="Z16" s="1970"/>
      <c r="AA16" s="1970"/>
      <c r="AB16" s="1970"/>
      <c r="AC16" s="1975"/>
      <c r="AD16" s="1970"/>
      <c r="AE16" s="3127"/>
      <c r="AF16" s="1997"/>
      <c r="AG16" s="1970"/>
      <c r="AH16" s="1970"/>
      <c r="AI16" s="2547"/>
      <c r="AJ16" s="2552"/>
      <c r="AK16" s="2552"/>
      <c r="AL16" s="2552"/>
    </row>
    <row r="17" spans="1:39" ht="15.6">
      <c r="A17" s="2420"/>
      <c r="B17" s="2417" t="s">
        <v>991</v>
      </c>
      <c r="C17" s="2420"/>
      <c r="D17" s="2420"/>
      <c r="E17" s="1970"/>
      <c r="F17" s="1970"/>
      <c r="G17" s="1970"/>
      <c r="H17" s="1970"/>
      <c r="I17" s="1970"/>
      <c r="J17" s="1970"/>
      <c r="K17" s="1970"/>
      <c r="L17" s="1970"/>
      <c r="M17" s="1970"/>
      <c r="N17" s="1970"/>
      <c r="O17" s="1970"/>
      <c r="P17" s="1970"/>
      <c r="Q17" s="1970"/>
      <c r="R17" s="1970"/>
      <c r="S17" s="1970"/>
      <c r="T17" s="1970"/>
      <c r="U17" s="1970"/>
      <c r="V17" s="1970"/>
      <c r="W17" s="1970"/>
      <c r="X17" s="1970"/>
      <c r="Y17" s="1970"/>
      <c r="Z17" s="1970"/>
      <c r="AA17" s="1970"/>
      <c r="AB17" s="1970"/>
      <c r="AC17" s="1975"/>
      <c r="AD17" s="1970"/>
      <c r="AE17" s="3128"/>
      <c r="AF17" s="1997"/>
      <c r="AG17" s="1970"/>
      <c r="AH17" s="1970"/>
      <c r="AI17" s="2547"/>
      <c r="AJ17" s="2552"/>
      <c r="AK17" s="2552"/>
      <c r="AL17" s="2552"/>
    </row>
    <row r="18" spans="1:39" ht="15.6">
      <c r="A18" s="2420"/>
      <c r="B18" s="2495" t="s">
        <v>1004</v>
      </c>
      <c r="C18" s="2420"/>
      <c r="D18" s="2420"/>
      <c r="E18" s="2553"/>
      <c r="F18" s="1970"/>
      <c r="G18" s="1974"/>
      <c r="H18" s="1974"/>
      <c r="I18" s="1974"/>
      <c r="J18" s="1974"/>
      <c r="K18" s="1974"/>
      <c r="L18" s="1974"/>
      <c r="M18" s="1974"/>
      <c r="N18" s="1974"/>
      <c r="O18" s="1974"/>
      <c r="P18" s="1974"/>
      <c r="Q18" s="1974"/>
      <c r="R18" s="1974"/>
      <c r="S18" s="1974"/>
      <c r="T18" s="1974"/>
      <c r="U18" s="1974"/>
      <c r="V18" s="1974"/>
      <c r="W18" s="1974"/>
      <c r="X18" s="1974"/>
      <c r="Y18" s="1974"/>
      <c r="Z18" s="1974"/>
      <c r="AA18" s="1974"/>
      <c r="AB18" s="1974"/>
      <c r="AC18" s="2018"/>
      <c r="AD18" s="3129" t="s">
        <v>14</v>
      </c>
      <c r="AE18" s="3130"/>
      <c r="AF18" s="1956"/>
      <c r="AG18" s="1974" t="s">
        <v>14</v>
      </c>
      <c r="AH18" s="1974"/>
      <c r="AI18" s="2554"/>
      <c r="AJ18" s="2555"/>
      <c r="AK18" s="2552"/>
      <c r="AL18" s="2552"/>
    </row>
    <row r="19" spans="1:39">
      <c r="A19" s="2420"/>
      <c r="B19" s="2304" t="s">
        <v>1007</v>
      </c>
      <c r="C19" s="2420"/>
      <c r="D19" s="2556" t="s">
        <v>14</v>
      </c>
      <c r="E19" s="1979">
        <v>2.1</v>
      </c>
      <c r="F19" s="1979"/>
      <c r="G19" s="1979">
        <v>0</v>
      </c>
      <c r="H19" s="1979"/>
      <c r="I19" s="1979">
        <v>17.5</v>
      </c>
      <c r="J19" s="1979"/>
      <c r="K19" s="1979">
        <v>0.10000000000000142</v>
      </c>
      <c r="L19" s="1977"/>
      <c r="M19" s="1979">
        <v>-0.10000000000000142</v>
      </c>
      <c r="N19" s="1966"/>
      <c r="O19" s="1979">
        <v>26.299999999999997</v>
      </c>
      <c r="P19" s="1966"/>
      <c r="Q19" s="1979">
        <v>0</v>
      </c>
      <c r="R19" s="1966"/>
      <c r="S19" s="1768">
        <v>0.10000000000000142</v>
      </c>
      <c r="T19" s="1966"/>
      <c r="U19" s="1768">
        <v>22.300000000000004</v>
      </c>
      <c r="V19" s="1966"/>
      <c r="W19" s="1768">
        <f>$AD19-$E19-$G19-$I19-$K19-$M19-$O19-$Q19-U19-S19</f>
        <v>0</v>
      </c>
      <c r="X19" s="1966"/>
      <c r="Y19" s="1768"/>
      <c r="Z19" s="1966"/>
      <c r="AA19" s="1768"/>
      <c r="AB19" s="1979"/>
      <c r="AC19" s="1980"/>
      <c r="AD19" s="1979">
        <v>68.3</v>
      </c>
      <c r="AE19" s="3131"/>
      <c r="AF19" s="3132"/>
      <c r="AG19" s="1979">
        <v>41.8</v>
      </c>
      <c r="AH19" s="2557"/>
      <c r="AI19" s="2558"/>
      <c r="AJ19" s="1979">
        <f>ROUND(AD19-AG19,1)</f>
        <v>26.5</v>
      </c>
      <c r="AK19" s="2559"/>
      <c r="AL19" s="2571">
        <f>ROUND(IF(AG19=0,0,AJ19/ABS(AG19)),3)</f>
        <v>0.63400000000000001</v>
      </c>
    </row>
    <row r="20" spans="1:39" ht="15.6">
      <c r="A20" s="2420"/>
      <c r="B20" s="2304" t="s">
        <v>1009</v>
      </c>
      <c r="C20" s="2420"/>
      <c r="D20" s="2420"/>
      <c r="E20" s="1979">
        <v>26.9</v>
      </c>
      <c r="F20" s="1979"/>
      <c r="G20" s="1979">
        <v>31.700000000000003</v>
      </c>
      <c r="H20" s="1979"/>
      <c r="I20" s="1979">
        <v>36.700000000000003</v>
      </c>
      <c r="J20" s="1979"/>
      <c r="K20" s="1979">
        <v>35</v>
      </c>
      <c r="L20" s="2560"/>
      <c r="M20" s="1979">
        <v>36.399999999999977</v>
      </c>
      <c r="N20" s="2560"/>
      <c r="O20" s="1979">
        <v>37.600000000000009</v>
      </c>
      <c r="P20" s="2560"/>
      <c r="Q20" s="1979">
        <v>34.700000000000003</v>
      </c>
      <c r="R20" s="2560"/>
      <c r="S20" s="1768">
        <v>23.399999999999977</v>
      </c>
      <c r="T20" s="2560"/>
      <c r="U20" s="1768">
        <v>37.500000000000057</v>
      </c>
      <c r="V20" s="2560"/>
      <c r="W20" s="1768">
        <f t="shared" ref="W20:W21" si="0">$AD20-$E20-$G20-$I20-$K20-$M20-$O20-$Q20-U20-S20</f>
        <v>23.900000000000034</v>
      </c>
      <c r="X20" s="2560"/>
      <c r="Y20" s="1768"/>
      <c r="Z20" s="2560"/>
      <c r="AA20" s="1768"/>
      <c r="AB20" s="1979"/>
      <c r="AC20" s="2018"/>
      <c r="AD20" s="1979">
        <v>323.8</v>
      </c>
      <c r="AE20" s="3130"/>
      <c r="AF20" s="1956"/>
      <c r="AG20" s="1979">
        <v>282.3</v>
      </c>
      <c r="AH20" s="1974"/>
      <c r="AI20" s="2554"/>
      <c r="AJ20" s="1974">
        <f>ROUND(AD20-AG20,1)</f>
        <v>41.5</v>
      </c>
      <c r="AK20" s="2561"/>
      <c r="AL20" s="1629">
        <f>ROUND(IF(AG20=0,0,AJ20/ABS(AG20)),3)</f>
        <v>0.14699999999999999</v>
      </c>
      <c r="AM20" s="2552"/>
    </row>
    <row r="21" spans="1:39" ht="15.6">
      <c r="A21" s="2420"/>
      <c r="B21" s="2304" t="s">
        <v>1011</v>
      </c>
      <c r="C21" s="2420"/>
      <c r="D21" s="2420"/>
      <c r="E21" s="1979">
        <v>14.5</v>
      </c>
      <c r="F21" s="1979"/>
      <c r="G21" s="1979">
        <v>10.5</v>
      </c>
      <c r="H21" s="1979"/>
      <c r="I21" s="1979">
        <v>11.600000000000001</v>
      </c>
      <c r="J21" s="1979"/>
      <c r="K21" s="1979">
        <v>12.100000000000001</v>
      </c>
      <c r="L21" s="2560"/>
      <c r="M21" s="1979">
        <v>13.299999999999997</v>
      </c>
      <c r="N21" s="2560"/>
      <c r="O21" s="1979">
        <v>10.599999999999994</v>
      </c>
      <c r="P21" s="2560"/>
      <c r="Q21" s="1979">
        <v>12.400000000000006</v>
      </c>
      <c r="R21" s="2560"/>
      <c r="S21" s="1768">
        <v>12.900000000000006</v>
      </c>
      <c r="T21" s="2560"/>
      <c r="U21" s="1768">
        <v>12.600000000000001</v>
      </c>
      <c r="V21" s="2560"/>
      <c r="W21" s="1768">
        <f t="shared" si="0"/>
        <v>11.100000000000001</v>
      </c>
      <c r="X21" s="2560"/>
      <c r="Y21" s="1768"/>
      <c r="Z21" s="2560"/>
      <c r="AA21" s="1768"/>
      <c r="AB21" s="1979"/>
      <c r="AC21" s="2018"/>
      <c r="AD21" s="1979">
        <v>121.6</v>
      </c>
      <c r="AE21" s="3130"/>
      <c r="AF21" s="1956"/>
      <c r="AG21" s="1979">
        <v>114.3</v>
      </c>
      <c r="AH21" s="1974"/>
      <c r="AI21" s="2554"/>
      <c r="AJ21" s="1974">
        <f>ROUND(AD21-AG21,1)</f>
        <v>7.3</v>
      </c>
      <c r="AK21" s="2561"/>
      <c r="AL21" s="2174">
        <f>ROUND(IF(AG21=0,0,AJ21/ABS(AG21)),3)</f>
        <v>6.4000000000000001E-2</v>
      </c>
    </row>
    <row r="22" spans="1:39" ht="15.6">
      <c r="A22" s="2420"/>
      <c r="B22" s="2428" t="s">
        <v>1091</v>
      </c>
      <c r="C22" s="2420"/>
      <c r="D22" s="2420"/>
      <c r="E22" s="1444">
        <f>ROUND(SUM(E19:E21),1)</f>
        <v>43.5</v>
      </c>
      <c r="F22" s="1979"/>
      <c r="G22" s="1444">
        <f>ROUND(SUM(G19:G21),1)</f>
        <v>42.2</v>
      </c>
      <c r="H22" s="1979"/>
      <c r="I22" s="1444">
        <f>ROUND(SUM(I19:I21),1)</f>
        <v>65.8</v>
      </c>
      <c r="J22" s="1979"/>
      <c r="K22" s="1444">
        <f>ROUND(SUM(K19:K21),1)</f>
        <v>47.2</v>
      </c>
      <c r="L22" s="1979"/>
      <c r="M22" s="1444">
        <f>ROUND(SUM(M19:M21),1)</f>
        <v>49.6</v>
      </c>
      <c r="N22" s="1979"/>
      <c r="O22" s="1444">
        <f>ROUND(SUM(O19:O21),1)</f>
        <v>74.5</v>
      </c>
      <c r="P22" s="1974"/>
      <c r="Q22" s="1444">
        <f>ROUND(SUM(Q19:Q21),1)</f>
        <v>47.1</v>
      </c>
      <c r="R22" s="1974"/>
      <c r="S22" s="1444">
        <f>ROUND(SUM(S19:S21),1)</f>
        <v>36.4</v>
      </c>
      <c r="T22" s="1974"/>
      <c r="U22" s="1444">
        <f>ROUND(SUM(U19:U21),1)</f>
        <v>72.400000000000006</v>
      </c>
      <c r="V22" s="1974"/>
      <c r="W22" s="1444">
        <f>ROUND(SUM(W19:W21),1)</f>
        <v>35</v>
      </c>
      <c r="X22" s="1974"/>
      <c r="Y22" s="1444">
        <f>ROUND(SUM(Y19:Y21),1)</f>
        <v>0</v>
      </c>
      <c r="Z22" s="1974"/>
      <c r="AA22" s="1444">
        <f>ROUND(SUM(AA19:AA21),1)</f>
        <v>0</v>
      </c>
      <c r="AB22" s="1974"/>
      <c r="AC22" s="2018"/>
      <c r="AD22" s="1444">
        <f>ROUND(SUM(AD19:AD21),1)</f>
        <v>513.70000000000005</v>
      </c>
      <c r="AE22" s="3133"/>
      <c r="AF22" s="1956"/>
      <c r="AG22" s="1444">
        <f>ROUND(SUM(AG19:AG21),1)</f>
        <v>438.4</v>
      </c>
      <c r="AH22" s="1974"/>
      <c r="AI22" s="2554"/>
      <c r="AJ22" s="1444">
        <f>ROUND(SUM(AJ19:AJ21),1)</f>
        <v>75.3</v>
      </c>
      <c r="AK22" s="2561"/>
      <c r="AL22" s="2175">
        <f>ROUND(IF(AG22=0,0,AJ22/ABS(AG22)),3)</f>
        <v>0.17199999999999999</v>
      </c>
    </row>
    <row r="23" spans="1:39" ht="15.6">
      <c r="A23" s="2420"/>
      <c r="B23" s="2495" t="s">
        <v>995</v>
      </c>
      <c r="C23" s="2420"/>
      <c r="D23" s="2420"/>
      <c r="E23" s="1979"/>
      <c r="F23" s="1979"/>
      <c r="G23" s="1979"/>
      <c r="H23" s="1979"/>
      <c r="I23" s="1979"/>
      <c r="J23" s="1979"/>
      <c r="K23" s="1979"/>
      <c r="L23" s="1979"/>
      <c r="M23" s="1979"/>
      <c r="N23" s="1979"/>
      <c r="O23" s="1979"/>
      <c r="P23" s="1974"/>
      <c r="Q23" s="2567"/>
      <c r="R23" s="1974"/>
      <c r="S23" s="2567"/>
      <c r="T23" s="1974"/>
      <c r="U23" s="2567"/>
      <c r="V23" s="1974"/>
      <c r="W23" s="3590"/>
      <c r="X23" s="1974"/>
      <c r="Y23" s="2567"/>
      <c r="Z23" s="1974"/>
      <c r="AA23" s="3590"/>
      <c r="AB23" s="1974"/>
      <c r="AC23" s="2018"/>
      <c r="AD23" s="1973"/>
      <c r="AE23" s="3130"/>
      <c r="AF23" s="1956"/>
      <c r="AG23" s="1973"/>
      <c r="AH23" s="1974"/>
      <c r="AI23" s="2554"/>
      <c r="AJ23" s="1973"/>
      <c r="AK23" s="2552"/>
      <c r="AL23" s="1777"/>
    </row>
    <row r="24" spans="1:39" ht="15.6">
      <c r="A24" s="2420"/>
      <c r="B24" s="2304" t="s">
        <v>1013</v>
      </c>
      <c r="C24" s="2420"/>
      <c r="D24" s="2420"/>
      <c r="E24" s="1979">
        <v>0</v>
      </c>
      <c r="F24" s="1979"/>
      <c r="G24" s="1979">
        <v>0</v>
      </c>
      <c r="H24" s="1979"/>
      <c r="I24" s="1979">
        <v>0</v>
      </c>
      <c r="J24" s="1979"/>
      <c r="K24" s="1979">
        <v>0</v>
      </c>
      <c r="L24" s="2560"/>
      <c r="M24" s="1979">
        <v>0</v>
      </c>
      <c r="N24" s="2560"/>
      <c r="O24" s="1979">
        <v>0</v>
      </c>
      <c r="P24" s="2560"/>
      <c r="Q24" s="1979">
        <v>0</v>
      </c>
      <c r="R24" s="2560"/>
      <c r="S24" s="1768">
        <v>0</v>
      </c>
      <c r="T24" s="2560"/>
      <c r="U24" s="1768">
        <v>0</v>
      </c>
      <c r="V24" s="2560"/>
      <c r="W24" s="1768">
        <f t="shared" ref="W24:W26" si="1">$AD24-$E24-$G24-$I24-$K24-$M24-$O24-$Q24-U24-S24</f>
        <v>0</v>
      </c>
      <c r="X24" s="2560"/>
      <c r="Y24" s="1768"/>
      <c r="Z24" s="2560"/>
      <c r="AA24" s="1768"/>
      <c r="AB24" s="1974"/>
      <c r="AC24" s="2018"/>
      <c r="AD24" s="1979">
        <v>0</v>
      </c>
      <c r="AE24" s="3133"/>
      <c r="AF24" s="1956"/>
      <c r="AG24" s="1979">
        <v>0</v>
      </c>
      <c r="AH24" s="1974"/>
      <c r="AI24" s="2554"/>
      <c r="AJ24" s="1974">
        <f>ROUND(AD24-AG24,1)</f>
        <v>0</v>
      </c>
      <c r="AK24" s="2552"/>
      <c r="AL24" s="1629">
        <f>ROUND(IF(AG24=0,0,AJ24/ABS(AG24)),3)</f>
        <v>0</v>
      </c>
    </row>
    <row r="25" spans="1:39" ht="15.6">
      <c r="A25" s="2420"/>
      <c r="B25" s="2304" t="s">
        <v>1014</v>
      </c>
      <c r="C25" s="2420"/>
      <c r="D25" s="2420"/>
      <c r="E25" s="1979">
        <v>3.1</v>
      </c>
      <c r="F25" s="1979"/>
      <c r="G25" s="1979">
        <v>0</v>
      </c>
      <c r="H25" s="1979"/>
      <c r="I25" s="1979">
        <v>1.4</v>
      </c>
      <c r="J25" s="1979"/>
      <c r="K25" s="1979">
        <v>-1.5</v>
      </c>
      <c r="L25" s="2560"/>
      <c r="M25" s="1979">
        <v>-0.10000000000000009</v>
      </c>
      <c r="N25" s="2560"/>
      <c r="O25" s="1979">
        <v>1.1999999999999997</v>
      </c>
      <c r="P25" s="2560"/>
      <c r="Q25" s="1979">
        <v>0.20000000000000018</v>
      </c>
      <c r="R25" s="2560"/>
      <c r="S25" s="1768">
        <v>0</v>
      </c>
      <c r="T25" s="2560"/>
      <c r="U25" s="1768">
        <v>1.6000000000000005</v>
      </c>
      <c r="V25" s="2560"/>
      <c r="W25" s="1768">
        <f t="shared" si="1"/>
        <v>-0.10000000000000053</v>
      </c>
      <c r="X25" s="2560"/>
      <c r="Y25" s="1768"/>
      <c r="Z25" s="2560"/>
      <c r="AA25" s="1768"/>
      <c r="AB25" s="1974"/>
      <c r="AC25" s="2018"/>
      <c r="AD25" s="1979">
        <v>5.8</v>
      </c>
      <c r="AE25" s="3133"/>
      <c r="AF25" s="1956"/>
      <c r="AG25" s="1979">
        <v>8.3000000000000007</v>
      </c>
      <c r="AH25" s="1974"/>
      <c r="AI25" s="2554"/>
      <c r="AJ25" s="1974">
        <f>ROUND(AD25-AG25,1)</f>
        <v>-2.5</v>
      </c>
      <c r="AK25" s="2552"/>
      <c r="AL25" s="1708">
        <f>ROUND(IF(AG25=0,1,AJ25/ABS(AG25)),3)</f>
        <v>-0.30099999999999999</v>
      </c>
    </row>
    <row r="26" spans="1:39" ht="15.6">
      <c r="A26" s="2420"/>
      <c r="B26" s="2304" t="s">
        <v>1017</v>
      </c>
      <c r="C26" s="2507"/>
      <c r="D26" s="2420"/>
      <c r="E26" s="1979">
        <v>38.200000000000003</v>
      </c>
      <c r="F26" s="1979"/>
      <c r="G26" s="1979">
        <v>50.399999999999991</v>
      </c>
      <c r="H26" s="1979"/>
      <c r="I26" s="1979">
        <v>52</v>
      </c>
      <c r="J26" s="1979"/>
      <c r="K26" s="1979">
        <v>55.3</v>
      </c>
      <c r="L26" s="2560"/>
      <c r="M26" s="1979">
        <v>53.600000000000037</v>
      </c>
      <c r="N26" s="2560"/>
      <c r="O26" s="1979">
        <v>43.699999999999989</v>
      </c>
      <c r="P26" s="2560"/>
      <c r="Q26" s="1979">
        <v>51.8</v>
      </c>
      <c r="R26" s="2560"/>
      <c r="S26" s="1768">
        <v>51.500000000000014</v>
      </c>
      <c r="T26" s="2560"/>
      <c r="U26" s="1768">
        <v>43.899999999999977</v>
      </c>
      <c r="V26" s="2560"/>
      <c r="W26" s="1768">
        <f t="shared" si="1"/>
        <v>48.499999999999986</v>
      </c>
      <c r="X26" s="2560"/>
      <c r="Y26" s="1768"/>
      <c r="Z26" s="2560"/>
      <c r="AA26" s="1768"/>
      <c r="AB26" s="1974"/>
      <c r="AC26" s="2018"/>
      <c r="AD26" s="1979">
        <v>488.9</v>
      </c>
      <c r="AE26" s="3130"/>
      <c r="AF26" s="1956"/>
      <c r="AG26" s="1979">
        <v>444.5</v>
      </c>
      <c r="AH26" s="1974"/>
      <c r="AI26" s="2554"/>
      <c r="AJ26" s="1974">
        <f>ROUND(AD26-AG26,1)</f>
        <v>44.4</v>
      </c>
      <c r="AK26" s="2561"/>
      <c r="AL26" s="2562">
        <f>ROUND(IF(AG26=0,0,AJ26/ABS(AG26)),3)</f>
        <v>0.1</v>
      </c>
    </row>
    <row r="27" spans="1:39" ht="15.6">
      <c r="A27" s="2420"/>
      <c r="B27" s="2428" t="s">
        <v>1092</v>
      </c>
      <c r="C27" s="2507"/>
      <c r="D27" s="2420"/>
      <c r="E27" s="1444">
        <f>ROUND(SUM(E24:E26),1)</f>
        <v>41.3</v>
      </c>
      <c r="F27" s="1979"/>
      <c r="G27" s="1444">
        <f>ROUND(SUM(G24:G26),1)</f>
        <v>50.4</v>
      </c>
      <c r="H27" s="1979"/>
      <c r="I27" s="1444">
        <f>ROUND(SUM(I24:I26),1)</f>
        <v>53.4</v>
      </c>
      <c r="J27" s="1979"/>
      <c r="K27" s="1444">
        <f>ROUND(SUM(K24:K26),1)</f>
        <v>53.8</v>
      </c>
      <c r="L27" s="1979"/>
      <c r="M27" s="1444">
        <f>ROUND(SUM(M24:M26),1)</f>
        <v>53.5</v>
      </c>
      <c r="N27" s="1979"/>
      <c r="O27" s="1444">
        <f>ROUND(SUM(O24:O26),1)</f>
        <v>44.9</v>
      </c>
      <c r="P27" s="1974"/>
      <c r="Q27" s="1444">
        <f>ROUND(SUM(Q24:Q26),1)</f>
        <v>52</v>
      </c>
      <c r="R27" s="1974"/>
      <c r="S27" s="1444">
        <f>ROUND(SUM(S24:S26),1)</f>
        <v>51.5</v>
      </c>
      <c r="T27" s="1974"/>
      <c r="U27" s="1444">
        <f>ROUND(SUM(U24:U26),1)</f>
        <v>45.5</v>
      </c>
      <c r="V27" s="1974"/>
      <c r="W27" s="1444">
        <f>ROUND(SUM(W24:W26),1)</f>
        <v>48.4</v>
      </c>
      <c r="X27" s="1974"/>
      <c r="Y27" s="1444">
        <f>ROUND(SUM(Y24:Y26),1)</f>
        <v>0</v>
      </c>
      <c r="Z27" s="1974"/>
      <c r="AA27" s="1444">
        <f>ROUND(SUM(AA24:AA26),1)</f>
        <v>0</v>
      </c>
      <c r="AB27" s="1974"/>
      <c r="AC27" s="2018"/>
      <c r="AD27" s="1444">
        <f>ROUND(SUM(AD24:AD26),1)</f>
        <v>494.7</v>
      </c>
      <c r="AE27" s="3133"/>
      <c r="AF27" s="1956"/>
      <c r="AG27" s="1444">
        <f>ROUND(SUM(AG24:AG26),1)</f>
        <v>452.8</v>
      </c>
      <c r="AH27" s="1974"/>
      <c r="AI27" s="2554"/>
      <c r="AJ27" s="1444">
        <f>ROUND(SUM(AJ24:AJ26),1)</f>
        <v>41.9</v>
      </c>
      <c r="AK27" s="2561"/>
      <c r="AL27" s="2582">
        <f>ROUND(IF(AG27=0,0,AJ27/ABS(AG27)),3)</f>
        <v>9.2999999999999999E-2</v>
      </c>
    </row>
    <row r="28" spans="1:39" ht="15.6">
      <c r="A28" s="2420"/>
      <c r="B28" s="2495" t="s">
        <v>996</v>
      </c>
      <c r="C28" s="2420"/>
      <c r="D28" s="2420"/>
      <c r="E28" s="2563"/>
      <c r="F28" s="1979"/>
      <c r="G28" s="2563"/>
      <c r="H28" s="1979"/>
      <c r="I28" s="1978"/>
      <c r="J28" s="1979"/>
      <c r="K28" s="1978"/>
      <c r="L28" s="1979"/>
      <c r="M28" s="1979"/>
      <c r="N28" s="1979"/>
      <c r="O28" s="1979"/>
      <c r="P28" s="1974"/>
      <c r="Q28" s="2567"/>
      <c r="R28" s="1974"/>
      <c r="S28" s="2567"/>
      <c r="T28" s="1974"/>
      <c r="U28" s="2567"/>
      <c r="V28" s="1974"/>
      <c r="W28" s="2567"/>
      <c r="X28" s="1974"/>
      <c r="Y28" s="2567"/>
      <c r="Z28" s="1974"/>
      <c r="AA28" s="2567"/>
      <c r="AB28" s="1974"/>
      <c r="AC28" s="2018"/>
      <c r="AD28" s="1974"/>
      <c r="AE28" s="3134"/>
      <c r="AF28" s="3135"/>
      <c r="AG28" s="1974"/>
      <c r="AH28" s="1973"/>
      <c r="AI28" s="2564"/>
      <c r="AJ28" s="1973"/>
      <c r="AK28" s="2568"/>
      <c r="AL28" s="1629"/>
      <c r="AM28" s="2552"/>
    </row>
    <row r="29" spans="1:39" ht="15.6">
      <c r="A29" s="2420"/>
      <c r="B29" s="2304" t="s">
        <v>1023</v>
      </c>
      <c r="C29" s="2420"/>
      <c r="D29" s="2420"/>
      <c r="E29" s="1979">
        <v>0</v>
      </c>
      <c r="F29" s="1979"/>
      <c r="G29" s="1979">
        <v>0</v>
      </c>
      <c r="H29" s="1979"/>
      <c r="I29" s="1979">
        <v>11.9</v>
      </c>
      <c r="J29" s="1979"/>
      <c r="K29" s="1979">
        <v>11.9</v>
      </c>
      <c r="L29" s="2560"/>
      <c r="M29" s="1979">
        <v>11.900000000000004</v>
      </c>
      <c r="N29" s="2560"/>
      <c r="O29" s="1979">
        <v>12.000000000000002</v>
      </c>
      <c r="P29" s="2560"/>
      <c r="Q29" s="1979">
        <v>11.899999999999997</v>
      </c>
      <c r="R29" s="2560"/>
      <c r="S29" s="1768">
        <v>11.9</v>
      </c>
      <c r="T29" s="2560"/>
      <c r="U29" s="1768">
        <v>11.899999999999997</v>
      </c>
      <c r="V29" s="2560"/>
      <c r="W29" s="1768">
        <f>$AD29-$E29-$G29-$I29-$K29-$M29-$O29-$Q29-U29-S29</f>
        <v>11.899999999999983</v>
      </c>
      <c r="X29" s="2560"/>
      <c r="Y29" s="1768"/>
      <c r="Z29" s="2560"/>
      <c r="AA29" s="1768"/>
      <c r="AB29" s="1974"/>
      <c r="AC29" s="2018"/>
      <c r="AD29" s="1979">
        <v>95.3</v>
      </c>
      <c r="AE29" s="3136"/>
      <c r="AF29" s="3135"/>
      <c r="AG29" s="1979">
        <v>95.3</v>
      </c>
      <c r="AH29" s="1973"/>
      <c r="AI29" s="2564"/>
      <c r="AJ29" s="1974">
        <f>ROUND(AD29-AG29,1)</f>
        <v>0</v>
      </c>
      <c r="AK29" s="2568"/>
      <c r="AL29" s="2562">
        <f>ROUND(IF(AG29=0,0,AJ29/ABS(AG29)),3)</f>
        <v>0</v>
      </c>
      <c r="AM29" s="2552"/>
    </row>
    <row r="30" spans="1:39" ht="15.6">
      <c r="B30" s="2428" t="s">
        <v>1093</v>
      </c>
      <c r="C30" s="2420"/>
      <c r="D30" s="2420"/>
      <c r="E30" s="1444">
        <f>ROUND(SUM(E29:E29),1)</f>
        <v>0</v>
      </c>
      <c r="F30" s="1979"/>
      <c r="G30" s="1444">
        <f>ROUND(SUM(G29:G29),1)</f>
        <v>0</v>
      </c>
      <c r="H30" s="1979"/>
      <c r="I30" s="1444">
        <f>ROUND(SUM(I29:I29),1)</f>
        <v>11.9</v>
      </c>
      <c r="J30" s="1979"/>
      <c r="K30" s="1444">
        <f>ROUND(SUM(K29:K29),1)</f>
        <v>11.9</v>
      </c>
      <c r="L30" s="1979"/>
      <c r="M30" s="1444">
        <f>ROUND(SUM(M29:M29),1)</f>
        <v>11.9</v>
      </c>
      <c r="N30" s="1979"/>
      <c r="O30" s="1444">
        <f>ROUND(SUM(O29:O29),1)</f>
        <v>12</v>
      </c>
      <c r="P30" s="1974"/>
      <c r="Q30" s="1444">
        <f>ROUND(SUM(Q29:Q29),1)</f>
        <v>11.9</v>
      </c>
      <c r="R30" s="1974"/>
      <c r="S30" s="1444">
        <f>ROUND(SUM(S29:S29),1)</f>
        <v>11.9</v>
      </c>
      <c r="T30" s="1974"/>
      <c r="U30" s="1444">
        <f>ROUND(SUM(U29:U29),1)</f>
        <v>11.9</v>
      </c>
      <c r="V30" s="1974"/>
      <c r="W30" s="1444">
        <f>ROUND(SUM(W29:W29),1)</f>
        <v>11.9</v>
      </c>
      <c r="X30" s="1974"/>
      <c r="Y30" s="1444">
        <f>ROUND(SUM(Y29:Y29),1)</f>
        <v>0</v>
      </c>
      <c r="Z30" s="1974"/>
      <c r="AA30" s="1444">
        <f>ROUND(SUM(AA29:AA29),1)</f>
        <v>0</v>
      </c>
      <c r="AB30" s="1974"/>
      <c r="AC30" s="2018"/>
      <c r="AD30" s="1444">
        <f>ROUND(SUM(AD29:AD29),1)</f>
        <v>95.3</v>
      </c>
      <c r="AE30" s="3136"/>
      <c r="AF30" s="3135"/>
      <c r="AG30" s="1444">
        <f>ROUND(SUM(AG29:AG29),1)</f>
        <v>95.3</v>
      </c>
      <c r="AH30" s="1973"/>
      <c r="AI30" s="2564"/>
      <c r="AJ30" s="1444">
        <f>ROUND(SUM(AJ29:AJ29),1)</f>
        <v>0</v>
      </c>
      <c r="AK30" s="2568"/>
      <c r="AL30" s="2175">
        <f>ROUND(IF(AG30=0,0,AJ30/ABS(AG30)),3)</f>
        <v>0</v>
      </c>
      <c r="AM30" s="2552"/>
    </row>
    <row r="31" spans="1:39" ht="15.6">
      <c r="A31" s="2420"/>
      <c r="B31" s="2507"/>
      <c r="C31" s="2420"/>
      <c r="D31" s="2420"/>
      <c r="E31" s="2563"/>
      <c r="F31" s="1979"/>
      <c r="G31" s="2563"/>
      <c r="H31" s="1979"/>
      <c r="I31" s="1978"/>
      <c r="J31" s="1979"/>
      <c r="K31" s="1978"/>
      <c r="L31" s="1979"/>
      <c r="M31" s="1979"/>
      <c r="N31" s="1979"/>
      <c r="O31" s="1979"/>
      <c r="P31" s="1974"/>
      <c r="Q31" s="2567"/>
      <c r="R31" s="1974"/>
      <c r="S31" s="2567"/>
      <c r="T31" s="1974"/>
      <c r="U31" s="2567"/>
      <c r="V31" s="1974"/>
      <c r="W31" s="2567"/>
      <c r="X31" s="1974"/>
      <c r="Y31" s="2567"/>
      <c r="Z31" s="1974"/>
      <c r="AA31" s="2567"/>
      <c r="AB31" s="1974"/>
      <c r="AC31" s="2018"/>
      <c r="AD31" s="1974"/>
      <c r="AE31" s="3136"/>
      <c r="AF31" s="3135"/>
      <c r="AG31" s="1974"/>
      <c r="AH31" s="1973"/>
      <c r="AI31" s="2564"/>
      <c r="AJ31" s="1973"/>
      <c r="AK31" s="2568"/>
      <c r="AL31" s="3591"/>
      <c r="AM31" s="2552"/>
    </row>
    <row r="32" spans="1:39" s="2575" customFormat="1" ht="15.6">
      <c r="A32" s="2507"/>
      <c r="B32" s="2428" t="s">
        <v>1019</v>
      </c>
      <c r="C32" s="2507"/>
      <c r="D32" s="2507"/>
      <c r="E32" s="2565">
        <f>ROUND(SUM(+E27+E22+E30),1)</f>
        <v>84.8</v>
      </c>
      <c r="F32" s="2029"/>
      <c r="G32" s="2565">
        <f>ROUND(SUM(+G27+G22+G30),1)</f>
        <v>92.6</v>
      </c>
      <c r="H32" s="2029"/>
      <c r="I32" s="2565">
        <f>ROUND(SUM(+I27+I22+I30),1)</f>
        <v>131.1</v>
      </c>
      <c r="J32" s="2029"/>
      <c r="K32" s="2565">
        <f>ROUND(SUM(+K27+K22+K30),1)</f>
        <v>112.9</v>
      </c>
      <c r="L32" s="2029"/>
      <c r="M32" s="2014">
        <f>ROUND(SUM(+M27+M22+M30),1)</f>
        <v>115</v>
      </c>
      <c r="N32" s="2029"/>
      <c r="O32" s="2014">
        <f>ROUND(SUM(+O27+O22+O30),1)</f>
        <v>131.4</v>
      </c>
      <c r="P32" s="2029"/>
      <c r="Q32" s="2014">
        <f>ROUND(SUM(+Q27+Q22+Q30),1)</f>
        <v>111</v>
      </c>
      <c r="R32" s="2029"/>
      <c r="S32" s="2014">
        <f>ROUND(SUM(+S27+S22+S30),1)</f>
        <v>99.8</v>
      </c>
      <c r="T32" s="2029"/>
      <c r="U32" s="2014">
        <f>ROUND(SUM(+U27+U22+U30),1)</f>
        <v>129.80000000000001</v>
      </c>
      <c r="V32" s="2029"/>
      <c r="W32" s="2014">
        <f>ROUND(SUM(+W27+W22+W30),1)</f>
        <v>95.3</v>
      </c>
      <c r="X32" s="2029"/>
      <c r="Y32" s="2014">
        <f>ROUND(SUM(+Y27+Y22+Y30),1)</f>
        <v>0</v>
      </c>
      <c r="Z32" s="2029"/>
      <c r="AA32" s="2014">
        <f>ROUND(SUM(+AA27+AA22+AA30),1)</f>
        <v>0</v>
      </c>
      <c r="AB32" s="2029"/>
      <c r="AC32" s="2508"/>
      <c r="AD32" s="2014">
        <f>ROUND(SUM(+AD27+AD22+AD30),1)</f>
        <v>1103.7</v>
      </c>
      <c r="AE32" s="3137"/>
      <c r="AF32" s="3138"/>
      <c r="AG32" s="2014">
        <f>ROUND(SUM(+AG27+AG22+AG30),1)</f>
        <v>986.5</v>
      </c>
      <c r="AH32" s="2566"/>
      <c r="AI32" s="2564"/>
      <c r="AJ32" s="2014">
        <f>ROUND(SUM(+AJ27+AJ22+AJ30),1)</f>
        <v>117.2</v>
      </c>
      <c r="AK32" s="3592"/>
      <c r="AL32" s="2582">
        <f>ROUND(IF(AG32=0,1,AJ32/ABS(AG32)),3)</f>
        <v>0.11899999999999999</v>
      </c>
      <c r="AM32" s="2583"/>
    </row>
    <row r="33" spans="1:39" ht="15.6">
      <c r="A33" s="2420"/>
      <c r="B33" s="2459"/>
      <c r="C33" s="2420"/>
      <c r="D33" s="2420"/>
      <c r="E33" s="2563"/>
      <c r="F33" s="1979"/>
      <c r="G33" s="2563"/>
      <c r="H33" s="1979"/>
      <c r="I33" s="1978"/>
      <c r="J33" s="1979"/>
      <c r="K33" s="1978"/>
      <c r="L33" s="1979"/>
      <c r="M33" s="1979"/>
      <c r="N33" s="1979"/>
      <c r="O33" s="1979"/>
      <c r="P33" s="1974"/>
      <c r="Q33" s="2567"/>
      <c r="R33" s="1974"/>
      <c r="S33" s="2567"/>
      <c r="T33" s="1974"/>
      <c r="U33" s="2567"/>
      <c r="V33" s="1974"/>
      <c r="W33" s="2567"/>
      <c r="X33" s="1974"/>
      <c r="Y33" s="2567"/>
      <c r="Z33" s="1974"/>
      <c r="AA33" s="2567"/>
      <c r="AB33" s="1974"/>
      <c r="AC33" s="2018"/>
      <c r="AD33" s="1974"/>
      <c r="AE33" s="3136"/>
      <c r="AF33" s="3135"/>
      <c r="AG33" s="1974"/>
      <c r="AH33" s="1973"/>
      <c r="AI33" s="2564"/>
      <c r="AJ33" s="1973"/>
      <c r="AK33" s="2568"/>
      <c r="AL33" s="1629"/>
      <c r="AM33" s="2552"/>
    </row>
    <row r="34" spans="1:39" ht="15.6">
      <c r="A34" s="2420"/>
      <c r="B34" s="2417" t="s">
        <v>929</v>
      </c>
      <c r="C34" s="2420"/>
      <c r="D34" s="2420"/>
      <c r="E34" s="1978"/>
      <c r="F34" s="1979"/>
      <c r="G34" s="1978"/>
      <c r="H34" s="1979"/>
      <c r="I34" s="1978"/>
      <c r="J34" s="1979"/>
      <c r="K34" s="1978"/>
      <c r="L34" s="1979"/>
      <c r="M34" s="1979"/>
      <c r="N34" s="1979"/>
      <c r="O34" s="1979"/>
      <c r="P34" s="1974"/>
      <c r="Q34" s="2567"/>
      <c r="R34" s="1974"/>
      <c r="S34" s="2567"/>
      <c r="T34" s="1974"/>
      <c r="U34" s="2567"/>
      <c r="V34" s="1974"/>
      <c r="W34" s="2567"/>
      <c r="X34" s="1974"/>
      <c r="Y34" s="2567"/>
      <c r="Z34" s="1974"/>
      <c r="AA34" s="2567"/>
      <c r="AB34" s="1974"/>
      <c r="AC34" s="2018"/>
      <c r="AD34" s="1974"/>
      <c r="AE34" s="3130"/>
      <c r="AF34" s="1956"/>
      <c r="AG34" s="1974"/>
      <c r="AH34" s="1973"/>
      <c r="AI34" s="2564"/>
      <c r="AJ34" s="1973"/>
      <c r="AK34" s="2561"/>
      <c r="AL34" s="1777"/>
    </row>
    <row r="35" spans="1:39" ht="15.6">
      <c r="A35" s="2420"/>
      <c r="B35" s="2440" t="s">
        <v>1044</v>
      </c>
      <c r="C35" s="2459"/>
      <c r="D35" s="2420"/>
      <c r="E35" s="1978"/>
      <c r="F35" s="1979"/>
      <c r="G35" s="1978"/>
      <c r="H35" s="1979"/>
      <c r="I35" s="1978"/>
      <c r="J35" s="1979"/>
      <c r="K35" s="1978"/>
      <c r="L35" s="1979"/>
      <c r="M35" s="1979"/>
      <c r="N35" s="1979"/>
      <c r="O35" s="1979"/>
      <c r="P35" s="1974"/>
      <c r="Q35" s="2567"/>
      <c r="R35" s="1974"/>
      <c r="S35" s="2567"/>
      <c r="T35" s="1974"/>
      <c r="U35" s="2567"/>
      <c r="V35" s="1974"/>
      <c r="W35" s="2567"/>
      <c r="X35" s="1974"/>
      <c r="Y35" s="2567"/>
      <c r="Z35" s="1974"/>
      <c r="AA35" s="2567"/>
      <c r="AB35" s="1974"/>
      <c r="AC35" s="2018"/>
      <c r="AD35" s="1974"/>
      <c r="AE35" s="3133"/>
      <c r="AF35" s="1956"/>
      <c r="AG35" s="1974"/>
      <c r="AH35" s="1973"/>
      <c r="AI35" s="2564"/>
      <c r="AJ35" s="1973"/>
      <c r="AK35" s="2561"/>
      <c r="AL35" s="1777"/>
    </row>
    <row r="36" spans="1:39" ht="15.6">
      <c r="A36" s="2420"/>
      <c r="B36" s="2440" t="s">
        <v>962</v>
      </c>
      <c r="C36" s="2459"/>
      <c r="D36" s="2420"/>
      <c r="E36" s="1979">
        <v>0</v>
      </c>
      <c r="F36" s="1979"/>
      <c r="G36" s="1979">
        <v>0</v>
      </c>
      <c r="H36" s="1979"/>
      <c r="I36" s="1979">
        <v>23</v>
      </c>
      <c r="J36" s="1979"/>
      <c r="K36" s="1979">
        <v>0</v>
      </c>
      <c r="L36" s="2560"/>
      <c r="M36" s="1979">
        <v>0</v>
      </c>
      <c r="N36" s="2560"/>
      <c r="O36" s="1979">
        <v>0</v>
      </c>
      <c r="P36" s="2560"/>
      <c r="Q36" s="1979">
        <v>0</v>
      </c>
      <c r="R36" s="2560"/>
      <c r="S36" s="1768">
        <v>0</v>
      </c>
      <c r="T36" s="2560"/>
      <c r="U36" s="1768">
        <v>0</v>
      </c>
      <c r="V36" s="2560"/>
      <c r="W36" s="1768">
        <f>$AD36-$E36-$G36-$I36-$K36-$M36-$O36-$Q36-U36-S36</f>
        <v>0</v>
      </c>
      <c r="X36" s="2560"/>
      <c r="Y36" s="1768"/>
      <c r="Z36" s="2560"/>
      <c r="AA36" s="1768"/>
      <c r="AB36" s="1974"/>
      <c r="AC36" s="2018"/>
      <c r="AD36" s="1979">
        <v>23</v>
      </c>
      <c r="AE36" s="3133"/>
      <c r="AF36" s="1956"/>
      <c r="AG36" s="1979">
        <v>23</v>
      </c>
      <c r="AH36" s="1973"/>
      <c r="AI36" s="2564"/>
      <c r="AJ36" s="1974">
        <f t="shared" ref="AJ36:AJ59" si="2">ROUND(AD36-AG36,1)</f>
        <v>0</v>
      </c>
      <c r="AK36" s="2561"/>
      <c r="AL36" s="1629">
        <f>ROUND(IF(AG36=0,1,AJ36/ABS(AG36)),3)</f>
        <v>0</v>
      </c>
    </row>
    <row r="37" spans="1:39" ht="15.6">
      <c r="A37" s="2420"/>
      <c r="B37" s="2440" t="s">
        <v>1045</v>
      </c>
      <c r="C37" s="2459"/>
      <c r="D37" s="2420"/>
      <c r="E37" s="1979" t="s">
        <v>14</v>
      </c>
      <c r="F37" s="1979"/>
      <c r="G37" s="1979" t="s">
        <v>14</v>
      </c>
      <c r="H37" s="1979"/>
      <c r="I37" s="1979"/>
      <c r="J37" s="1979"/>
      <c r="K37" s="1979"/>
      <c r="L37" s="2560"/>
      <c r="M37" s="1979"/>
      <c r="N37" s="2560"/>
      <c r="O37" s="1979"/>
      <c r="P37" s="2560"/>
      <c r="Q37" s="1979"/>
      <c r="R37" s="2560"/>
      <c r="S37" s="1768"/>
      <c r="T37" s="2560"/>
      <c r="U37" s="1768"/>
      <c r="V37" s="2560"/>
      <c r="W37" s="1768"/>
      <c r="X37" s="2560"/>
      <c r="Y37" s="1768"/>
      <c r="Z37" s="2560"/>
      <c r="AA37" s="1768"/>
      <c r="AB37" s="1974"/>
      <c r="AC37" s="2018"/>
      <c r="AD37" s="2567"/>
      <c r="AE37" s="3133"/>
      <c r="AF37" s="1956"/>
      <c r="AG37" s="2567"/>
      <c r="AH37" s="1973"/>
      <c r="AI37" s="2564"/>
      <c r="AJ37" s="1974"/>
      <c r="AK37" s="2561"/>
      <c r="AL37" s="1777"/>
    </row>
    <row r="38" spans="1:39" ht="15.6">
      <c r="A38" s="2420"/>
      <c r="B38" s="2440" t="s">
        <v>963</v>
      </c>
      <c r="C38" s="2459"/>
      <c r="D38" s="2420"/>
      <c r="E38" s="1979">
        <v>10</v>
      </c>
      <c r="F38" s="1979"/>
      <c r="G38" s="1979">
        <v>7.6000000000000014</v>
      </c>
      <c r="H38" s="1979"/>
      <c r="I38" s="1979">
        <v>6</v>
      </c>
      <c r="J38" s="1979"/>
      <c r="K38" s="1979">
        <v>6.3999999999999986</v>
      </c>
      <c r="L38" s="2560"/>
      <c r="M38" s="1979">
        <v>6.1000000000000014</v>
      </c>
      <c r="N38" s="2560"/>
      <c r="O38" s="1979">
        <v>6</v>
      </c>
      <c r="P38" s="2560"/>
      <c r="Q38" s="1979">
        <v>6.3999999999999986</v>
      </c>
      <c r="R38" s="2560"/>
      <c r="S38" s="1768">
        <v>6</v>
      </c>
      <c r="T38" s="2560"/>
      <c r="U38" s="1768">
        <v>6.2000000000000028</v>
      </c>
      <c r="V38" s="2560"/>
      <c r="W38" s="1768">
        <f>$AD38-$E38-$G38-$I38-$K38-$M38-$O38-$Q38-U38-S38</f>
        <v>5.8999999999999915</v>
      </c>
      <c r="X38" s="2560"/>
      <c r="Y38" s="1768"/>
      <c r="Z38" s="2560"/>
      <c r="AA38" s="1768"/>
      <c r="AB38" s="1974"/>
      <c r="AC38" s="2018"/>
      <c r="AD38" s="1979">
        <v>66.599999999999994</v>
      </c>
      <c r="AE38" s="3133"/>
      <c r="AF38" s="1956"/>
      <c r="AG38" s="1979">
        <v>66.400000000000006</v>
      </c>
      <c r="AH38" s="1973"/>
      <c r="AI38" s="2564"/>
      <c r="AJ38" s="1974">
        <f t="shared" si="2"/>
        <v>0.2</v>
      </c>
      <c r="AK38" s="2561"/>
      <c r="AL38" s="1629">
        <f>ROUND(IF(AG38=0,0,AJ38/ABS(AG38)),3)</f>
        <v>3.0000000000000001E-3</v>
      </c>
    </row>
    <row r="39" spans="1:39" ht="15.6">
      <c r="A39" s="2420"/>
      <c r="B39" s="2440" t="s">
        <v>1049</v>
      </c>
      <c r="C39" s="2459"/>
      <c r="D39" s="2420"/>
      <c r="E39" s="1979" t="s">
        <v>14</v>
      </c>
      <c r="F39" s="1979"/>
      <c r="G39" s="1979"/>
      <c r="H39" s="1979"/>
      <c r="I39" s="1979"/>
      <c r="J39" s="1979"/>
      <c r="K39" s="1979"/>
      <c r="L39" s="2560"/>
      <c r="M39" s="1979"/>
      <c r="N39" s="2560"/>
      <c r="O39" s="1979"/>
      <c r="P39" s="2560"/>
      <c r="Q39" s="1979"/>
      <c r="R39" s="2560"/>
      <c r="S39" s="1768"/>
      <c r="T39" s="2560"/>
      <c r="U39" s="1768"/>
      <c r="V39" s="2560"/>
      <c r="W39" s="1768"/>
      <c r="X39" s="2560"/>
      <c r="Y39" s="1768"/>
      <c r="Z39" s="2560"/>
      <c r="AA39" s="1768"/>
      <c r="AB39" s="1974"/>
      <c r="AC39" s="2018"/>
      <c r="AD39" s="2567"/>
      <c r="AE39" s="3133"/>
      <c r="AF39" s="1956"/>
      <c r="AG39" s="2567"/>
      <c r="AH39" s="1973"/>
      <c r="AI39" s="2564"/>
      <c r="AJ39" s="1974"/>
      <c r="AK39" s="2561"/>
      <c r="AL39" s="1777"/>
    </row>
    <row r="40" spans="1:39" ht="15.6">
      <c r="A40" s="2420"/>
      <c r="B40" s="2440" t="s">
        <v>967</v>
      </c>
      <c r="C40" s="2459"/>
      <c r="D40" s="2420"/>
      <c r="E40" s="1979">
        <v>1.3</v>
      </c>
      <c r="F40" s="1979"/>
      <c r="G40" s="1979">
        <v>1.7</v>
      </c>
      <c r="H40" s="1979"/>
      <c r="I40" s="1979">
        <v>2.0999999999999996</v>
      </c>
      <c r="J40" s="1979"/>
      <c r="K40" s="1979">
        <v>1.4000000000000004</v>
      </c>
      <c r="L40" s="2560"/>
      <c r="M40" s="1979">
        <v>8.5</v>
      </c>
      <c r="N40" s="2560"/>
      <c r="O40" s="1979">
        <v>7.4999999999999982</v>
      </c>
      <c r="P40" s="2560"/>
      <c r="Q40" s="1979">
        <v>3.300000000000006</v>
      </c>
      <c r="R40" s="2560"/>
      <c r="S40" s="1768">
        <v>1.6999999999999957</v>
      </c>
      <c r="T40" s="2560"/>
      <c r="U40" s="1768">
        <v>1.8999999999999986</v>
      </c>
      <c r="V40" s="2560"/>
      <c r="W40" s="1768">
        <f t="shared" ref="W40:W46" si="3">$AD40-$E40-$G40-$I40-$K40-$M40-$O40-$Q40-U40-S40</f>
        <v>0.10000000000000142</v>
      </c>
      <c r="X40" s="2560"/>
      <c r="Y40" s="1768"/>
      <c r="Z40" s="2560"/>
      <c r="AA40" s="1768"/>
      <c r="AB40" s="1974"/>
      <c r="AC40" s="2018"/>
      <c r="AD40" s="1979">
        <v>29.5</v>
      </c>
      <c r="AE40" s="3133"/>
      <c r="AF40" s="1956"/>
      <c r="AG40" s="1979">
        <v>25</v>
      </c>
      <c r="AH40" s="1973"/>
      <c r="AI40" s="2564"/>
      <c r="AJ40" s="1974">
        <f t="shared" si="2"/>
        <v>4.5</v>
      </c>
      <c r="AK40" s="2561"/>
      <c r="AL40" s="1629">
        <f>ROUND(IF(AG40=0,0,AJ40/ABS(AG40)),3)</f>
        <v>0.18</v>
      </c>
    </row>
    <row r="41" spans="1:39" ht="15.6">
      <c r="A41" s="2420"/>
      <c r="B41" s="2440" t="s">
        <v>1105</v>
      </c>
      <c r="C41" s="2459"/>
      <c r="D41" s="2420"/>
      <c r="E41" s="1979">
        <v>0</v>
      </c>
      <c r="F41" s="1979"/>
      <c r="G41" s="1979">
        <v>0</v>
      </c>
      <c r="H41" s="1979"/>
      <c r="I41" s="1979">
        <v>0</v>
      </c>
      <c r="J41" s="1979"/>
      <c r="K41" s="1979">
        <v>0</v>
      </c>
      <c r="L41" s="2560"/>
      <c r="M41" s="1979">
        <v>0</v>
      </c>
      <c r="N41" s="2560"/>
      <c r="O41" s="1979">
        <v>0</v>
      </c>
      <c r="P41" s="2560"/>
      <c r="Q41" s="1979">
        <v>0</v>
      </c>
      <c r="R41" s="2560"/>
      <c r="S41" s="1768">
        <v>0</v>
      </c>
      <c r="T41" s="2560"/>
      <c r="U41" s="1768">
        <v>0</v>
      </c>
      <c r="V41" s="2560"/>
      <c r="W41" s="1768">
        <f t="shared" si="3"/>
        <v>0</v>
      </c>
      <c r="X41" s="2560"/>
      <c r="Y41" s="1768"/>
      <c r="Z41" s="2560"/>
      <c r="AA41" s="1768"/>
      <c r="AB41" s="1974"/>
      <c r="AC41" s="2018"/>
      <c r="AD41" s="1979">
        <v>0</v>
      </c>
      <c r="AE41" s="3139"/>
      <c r="AF41" s="1956"/>
      <c r="AG41" s="1979">
        <v>0</v>
      </c>
      <c r="AH41" s="1973"/>
      <c r="AI41" s="2564"/>
      <c r="AJ41" s="1974">
        <f>ROUND(AD41-AG41,1)</f>
        <v>0</v>
      </c>
      <c r="AK41" s="2561"/>
      <c r="AL41" s="1703">
        <f>ROUND(IF(AG41=0,0,AJ41/ABS(AG41)),3)</f>
        <v>0</v>
      </c>
    </row>
    <row r="42" spans="1:39" ht="15.6">
      <c r="A42" s="2420"/>
      <c r="B42" s="2440" t="s">
        <v>970</v>
      </c>
      <c r="C42" s="2459"/>
      <c r="D42" s="2420"/>
      <c r="E42" s="1979">
        <v>79.2</v>
      </c>
      <c r="F42" s="1979"/>
      <c r="G42" s="1979">
        <v>69.100000000000009</v>
      </c>
      <c r="H42" s="1979"/>
      <c r="I42" s="1979">
        <v>60.59999999999998</v>
      </c>
      <c r="J42" s="1979"/>
      <c r="K42" s="1979">
        <v>66</v>
      </c>
      <c r="L42" s="2560"/>
      <c r="M42" s="1979">
        <v>58.999999999999986</v>
      </c>
      <c r="N42" s="2560"/>
      <c r="O42" s="1979">
        <v>59.500000000000014</v>
      </c>
      <c r="P42" s="2560"/>
      <c r="Q42" s="1979">
        <v>55.300000000000011</v>
      </c>
      <c r="R42" s="2560"/>
      <c r="S42" s="1768">
        <v>52.099999999999952</v>
      </c>
      <c r="T42" s="2560"/>
      <c r="U42" s="1768">
        <v>52.100000000000037</v>
      </c>
      <c r="V42" s="2560"/>
      <c r="W42" s="1768">
        <f t="shared" si="3"/>
        <v>52.999999999999943</v>
      </c>
      <c r="X42" s="2560"/>
      <c r="Y42" s="1768"/>
      <c r="Z42" s="2560"/>
      <c r="AA42" s="1768"/>
      <c r="AB42" s="1974"/>
      <c r="AC42" s="2018"/>
      <c r="AD42" s="3778">
        <v>605.9</v>
      </c>
      <c r="AE42" s="3133"/>
      <c r="AF42" s="1956"/>
      <c r="AG42" s="1979">
        <v>550.4</v>
      </c>
      <c r="AH42" s="1973"/>
      <c r="AI42" s="2564"/>
      <c r="AJ42" s="1974">
        <f t="shared" si="2"/>
        <v>55.5</v>
      </c>
      <c r="AK42" s="2561"/>
      <c r="AL42" s="1629">
        <f>ROUND(IF(AG42=0,0,AJ42/ABS(AG42)),3)</f>
        <v>0.10100000000000001</v>
      </c>
    </row>
    <row r="43" spans="1:39" ht="15.6">
      <c r="A43" s="2420"/>
      <c r="B43" s="2440" t="s">
        <v>971</v>
      </c>
      <c r="C43" s="2459"/>
      <c r="D43" s="2420"/>
      <c r="E43" s="1979">
        <v>1.5</v>
      </c>
      <c r="F43" s="1979"/>
      <c r="G43" s="1979">
        <v>2.9000000000000004</v>
      </c>
      <c r="H43" s="1979"/>
      <c r="I43" s="1979">
        <v>1.4999999999999991</v>
      </c>
      <c r="J43" s="1979"/>
      <c r="K43" s="1979">
        <v>0.40000000000000036</v>
      </c>
      <c r="L43" s="2560"/>
      <c r="M43" s="1979">
        <v>0.40000000000000036</v>
      </c>
      <c r="N43" s="2560"/>
      <c r="O43" s="1979">
        <v>10.199999999999999</v>
      </c>
      <c r="P43" s="2560"/>
      <c r="Q43" s="1979">
        <v>5</v>
      </c>
      <c r="R43" s="2560"/>
      <c r="S43" s="1768">
        <v>2.100000000000005</v>
      </c>
      <c r="T43" s="2560"/>
      <c r="U43" s="1768">
        <v>3.6999999999999957</v>
      </c>
      <c r="V43" s="2560"/>
      <c r="W43" s="1768">
        <f t="shared" si="3"/>
        <v>0.10000000000000142</v>
      </c>
      <c r="X43" s="2560"/>
      <c r="Y43" s="1768"/>
      <c r="Z43" s="2560"/>
      <c r="AA43" s="1768"/>
      <c r="AB43" s="1974"/>
      <c r="AC43" s="2018"/>
      <c r="AD43" s="1979">
        <v>27.8</v>
      </c>
      <c r="AE43" s="3133"/>
      <c r="AF43" s="1956"/>
      <c r="AG43" s="1979">
        <v>20.2</v>
      </c>
      <c r="AH43" s="1973"/>
      <c r="AI43" s="2564"/>
      <c r="AJ43" s="1974">
        <f t="shared" si="2"/>
        <v>7.6</v>
      </c>
      <c r="AK43" s="2561"/>
      <c r="AL43" s="1708">
        <f>ROUND(IF(AG43=0,1,AJ43/ABS(AG43)),3)</f>
        <v>0.376</v>
      </c>
    </row>
    <row r="44" spans="1:39" ht="15.6">
      <c r="A44" s="2420"/>
      <c r="B44" s="2440" t="s">
        <v>930</v>
      </c>
      <c r="C44" s="2459"/>
      <c r="D44" s="2420"/>
      <c r="E44" s="1979">
        <v>2.5</v>
      </c>
      <c r="F44" s="1979"/>
      <c r="G44" s="1979">
        <v>0.80000000000000027</v>
      </c>
      <c r="H44" s="1979"/>
      <c r="I44" s="1979">
        <v>2.8000000000000003</v>
      </c>
      <c r="J44" s="1979"/>
      <c r="K44" s="1979">
        <v>1.9999999999999987</v>
      </c>
      <c r="L44" s="2560"/>
      <c r="M44" s="1979">
        <v>3.0999999999999992</v>
      </c>
      <c r="N44" s="2560"/>
      <c r="O44" s="1979">
        <v>1.4000000000000008</v>
      </c>
      <c r="P44" s="2560"/>
      <c r="Q44" s="1979">
        <v>2.6999999999999988</v>
      </c>
      <c r="R44" s="2560"/>
      <c r="S44" s="1768">
        <v>1.4000000000000008</v>
      </c>
      <c r="T44" s="2560"/>
      <c r="U44" s="1768">
        <v>2.5</v>
      </c>
      <c r="V44" s="2560"/>
      <c r="W44" s="1768">
        <f t="shared" si="3"/>
        <v>0.80000000000000027</v>
      </c>
      <c r="X44" s="2560"/>
      <c r="Y44" s="1768"/>
      <c r="Z44" s="2560"/>
      <c r="AA44" s="1768"/>
      <c r="AB44" s="1974"/>
      <c r="AC44" s="2018"/>
      <c r="AD44" s="1979">
        <v>20</v>
      </c>
      <c r="AE44" s="3133"/>
      <c r="AF44" s="1956"/>
      <c r="AG44" s="1979">
        <v>19.399999999999999</v>
      </c>
      <c r="AH44" s="1973"/>
      <c r="AI44" s="2564"/>
      <c r="AJ44" s="1974">
        <f t="shared" si="2"/>
        <v>0.6</v>
      </c>
      <c r="AK44" s="2561"/>
      <c r="AL44" s="1708">
        <f>ROUND(IF(AG44=0,1,AJ44/ABS(AG44)),3)</f>
        <v>3.1E-2</v>
      </c>
    </row>
    <row r="45" spans="1:39" ht="15.6">
      <c r="A45" s="2420"/>
      <c r="B45" s="2440" t="s">
        <v>931</v>
      </c>
      <c r="C45" s="2459"/>
      <c r="D45" s="2420"/>
      <c r="E45" s="1979">
        <v>0</v>
      </c>
      <c r="F45" s="1979"/>
      <c r="G45" s="1979">
        <v>0.1</v>
      </c>
      <c r="H45" s="1979"/>
      <c r="I45" s="1979">
        <v>0</v>
      </c>
      <c r="J45" s="1979"/>
      <c r="K45" s="1979">
        <v>0</v>
      </c>
      <c r="L45" s="2560"/>
      <c r="M45" s="1979">
        <v>0.1</v>
      </c>
      <c r="N45" s="2560"/>
      <c r="O45" s="1979">
        <v>0</v>
      </c>
      <c r="P45" s="2560"/>
      <c r="Q45" s="1979">
        <v>0</v>
      </c>
      <c r="R45" s="2560"/>
      <c r="S45" s="1768">
        <v>0</v>
      </c>
      <c r="T45" s="2560"/>
      <c r="U45" s="1768">
        <v>0</v>
      </c>
      <c r="V45" s="2560"/>
      <c r="W45" s="1768">
        <f t="shared" si="3"/>
        <v>9.9999999999999978E-2</v>
      </c>
      <c r="X45" s="2560"/>
      <c r="Y45" s="1768"/>
      <c r="Z45" s="2560"/>
      <c r="AA45" s="1768"/>
      <c r="AB45" s="1974"/>
      <c r="AC45" s="2018"/>
      <c r="AD45" s="1979">
        <v>0.3</v>
      </c>
      <c r="AE45" s="3133"/>
      <c r="AF45" s="1956"/>
      <c r="AG45" s="1979">
        <v>1.7</v>
      </c>
      <c r="AH45" s="1973"/>
      <c r="AI45" s="2564"/>
      <c r="AJ45" s="1974">
        <f t="shared" si="2"/>
        <v>-1.4</v>
      </c>
      <c r="AK45" s="2561"/>
      <c r="AL45" s="1703">
        <f>ROUND(IF(AG45=0,0,AJ45/ABS(AG45)),3)</f>
        <v>-0.82399999999999995</v>
      </c>
    </row>
    <row r="46" spans="1:39" ht="15.6">
      <c r="A46" s="2420"/>
      <c r="B46" s="2440" t="s">
        <v>948</v>
      </c>
      <c r="C46" s="2459"/>
      <c r="D46" s="2420"/>
      <c r="E46" s="1979">
        <v>0</v>
      </c>
      <c r="F46" s="1979"/>
      <c r="G46" s="1979">
        <v>0</v>
      </c>
      <c r="H46" s="1979"/>
      <c r="I46" s="1979">
        <v>0</v>
      </c>
      <c r="J46" s="1979"/>
      <c r="K46" s="1979">
        <v>0</v>
      </c>
      <c r="L46" s="2560"/>
      <c r="M46" s="1979">
        <v>0.1</v>
      </c>
      <c r="N46" s="2560"/>
      <c r="O46" s="1979">
        <v>0</v>
      </c>
      <c r="P46" s="2560"/>
      <c r="Q46" s="1979">
        <v>0</v>
      </c>
      <c r="R46" s="2560"/>
      <c r="S46" s="1768">
        <v>0</v>
      </c>
      <c r="T46" s="2560"/>
      <c r="U46" s="1768">
        <v>0</v>
      </c>
      <c r="V46" s="2560"/>
      <c r="W46" s="1768">
        <f t="shared" si="3"/>
        <v>0.19999999999999998</v>
      </c>
      <c r="X46" s="2560"/>
      <c r="Y46" s="1768"/>
      <c r="Z46" s="2560"/>
      <c r="AA46" s="1768"/>
      <c r="AB46" s="1974"/>
      <c r="AC46" s="2018"/>
      <c r="AD46" s="1979">
        <v>0.3</v>
      </c>
      <c r="AE46" s="3133"/>
      <c r="AF46" s="1956"/>
      <c r="AG46" s="1979">
        <v>0.6</v>
      </c>
      <c r="AH46" s="1973"/>
      <c r="AI46" s="2564"/>
      <c r="AJ46" s="1974">
        <f>ROUND(AD46-AG46,1)</f>
        <v>-0.3</v>
      </c>
      <c r="AK46" s="2561"/>
      <c r="AL46" s="1629">
        <f>ROUND(IF(AG46=0,0,AJ46/ABS(AG46)),3)</f>
        <v>-0.5</v>
      </c>
    </row>
    <row r="47" spans="1:39" ht="15.6">
      <c r="A47" s="2420"/>
      <c r="B47" s="2440" t="s">
        <v>1047</v>
      </c>
      <c r="C47" s="2459"/>
      <c r="D47" s="2420"/>
      <c r="E47" s="1979" t="s">
        <v>14</v>
      </c>
      <c r="F47" s="1979"/>
      <c r="G47" s="1979"/>
      <c r="H47" s="1979"/>
      <c r="I47" s="1979"/>
      <c r="J47" s="1979"/>
      <c r="K47" s="1979"/>
      <c r="L47" s="2560"/>
      <c r="M47" s="1979"/>
      <c r="N47" s="2560"/>
      <c r="O47" s="1979"/>
      <c r="P47" s="2560"/>
      <c r="Q47" s="1979"/>
      <c r="R47" s="2560"/>
      <c r="S47" s="1768"/>
      <c r="T47" s="2560"/>
      <c r="U47" s="1768"/>
      <c r="V47" s="2560"/>
      <c r="W47" s="1768"/>
      <c r="X47" s="2560"/>
      <c r="Y47" s="1768"/>
      <c r="Z47" s="2560"/>
      <c r="AA47" s="1768"/>
      <c r="AB47" s="1974"/>
      <c r="AC47" s="2018"/>
      <c r="AD47" s="2567"/>
      <c r="AE47" s="3133"/>
      <c r="AF47" s="1956"/>
      <c r="AG47" s="2567"/>
      <c r="AH47" s="1973"/>
      <c r="AI47" s="2564"/>
      <c r="AJ47" s="1974"/>
      <c r="AK47" s="2561"/>
      <c r="AL47" s="1777"/>
    </row>
    <row r="48" spans="1:39" ht="15.6">
      <c r="A48" s="2420"/>
      <c r="B48" s="2440" t="s">
        <v>974</v>
      </c>
      <c r="C48" s="2459"/>
      <c r="D48" s="2420"/>
      <c r="E48" s="1979">
        <v>78.399999999999991</v>
      </c>
      <c r="F48" s="1979"/>
      <c r="G48" s="1979">
        <v>0.50000000000001421</v>
      </c>
      <c r="H48" s="1979"/>
      <c r="I48" s="1979">
        <v>3</v>
      </c>
      <c r="J48" s="1979"/>
      <c r="K48" s="1979">
        <v>237</v>
      </c>
      <c r="L48" s="2560"/>
      <c r="M48" s="1979">
        <v>27.600000000000023</v>
      </c>
      <c r="N48" s="2560"/>
      <c r="O48" s="1979">
        <v>328.1</v>
      </c>
      <c r="P48" s="2560"/>
      <c r="Q48" s="1979">
        <v>979.1999999999997</v>
      </c>
      <c r="R48" s="2560"/>
      <c r="S48" s="1768">
        <v>0.6000000000003638</v>
      </c>
      <c r="T48" s="2560"/>
      <c r="U48" s="1768">
        <v>583.00000000000011</v>
      </c>
      <c r="V48" s="2560"/>
      <c r="W48" s="1768">
        <f>$AD48-$E48-$G48-$I48-$K48-$M48-$O48-$Q48-U48-S48</f>
        <v>117.29999999999973</v>
      </c>
      <c r="X48" s="2560"/>
      <c r="Y48" s="1768"/>
      <c r="Z48" s="2560"/>
      <c r="AA48" s="1768"/>
      <c r="AB48" s="1974"/>
      <c r="AC48" s="2018"/>
      <c r="AD48" s="1979">
        <v>2354.6999999999998</v>
      </c>
      <c r="AE48" s="3133"/>
      <c r="AF48" s="1956"/>
      <c r="AG48" s="1979">
        <v>4053.2</v>
      </c>
      <c r="AH48" s="1973"/>
      <c r="AI48" s="2564"/>
      <c r="AJ48" s="1974">
        <f t="shared" si="2"/>
        <v>-1698.5</v>
      </c>
      <c r="AK48" s="2561"/>
      <c r="AL48" s="3593">
        <f>ROUND(IF(AG48=0,0,AJ48/ABS(AG48)),3)</f>
        <v>-0.41899999999999998</v>
      </c>
    </row>
    <row r="49" spans="1:41" s="2570" customFormat="1" ht="15.6">
      <c r="A49" s="3594"/>
      <c r="B49" s="2440" t="s">
        <v>976</v>
      </c>
      <c r="C49" s="2459"/>
      <c r="D49" s="2459"/>
      <c r="E49" s="1979">
        <v>0</v>
      </c>
      <c r="F49" s="1978"/>
      <c r="G49" s="1979">
        <v>0</v>
      </c>
      <c r="H49" s="1978"/>
      <c r="I49" s="1979">
        <v>0</v>
      </c>
      <c r="J49" s="1978"/>
      <c r="K49" s="1979">
        <v>0</v>
      </c>
      <c r="L49" s="2560"/>
      <c r="M49" s="1979">
        <v>0</v>
      </c>
      <c r="N49" s="2560"/>
      <c r="O49" s="1979">
        <v>0</v>
      </c>
      <c r="P49" s="2560"/>
      <c r="Q49" s="1979">
        <v>0</v>
      </c>
      <c r="R49" s="2560"/>
      <c r="S49" s="1768">
        <v>0</v>
      </c>
      <c r="T49" s="2560"/>
      <c r="U49" s="1768">
        <v>0</v>
      </c>
      <c r="V49" s="2560"/>
      <c r="W49" s="1768">
        <f t="shared" ref="W49:W51" si="4">$AD49-$E49-$G49-$I49-$K49-$M49-$O49-$Q49-U49-S49</f>
        <v>0</v>
      </c>
      <c r="X49" s="2560"/>
      <c r="Y49" s="1768"/>
      <c r="Z49" s="2560"/>
      <c r="AA49" s="1768"/>
      <c r="AB49" s="1979"/>
      <c r="AC49" s="1980"/>
      <c r="AD49" s="1979">
        <v>0</v>
      </c>
      <c r="AE49" s="3140"/>
      <c r="AF49" s="2020"/>
      <c r="AG49" s="1979">
        <v>0</v>
      </c>
      <c r="AH49" s="2011"/>
      <c r="AI49" s="2564"/>
      <c r="AJ49" s="1979">
        <f t="shared" si="2"/>
        <v>0</v>
      </c>
      <c r="AK49" s="2569"/>
      <c r="AL49" s="1703">
        <f>ROUND(IF(AG49=0,0,AJ49/ABS(AG49)),3)</f>
        <v>0</v>
      </c>
    </row>
    <row r="50" spans="1:41" ht="15.6">
      <c r="A50" s="2420"/>
      <c r="B50" s="2440" t="s">
        <v>977</v>
      </c>
      <c r="C50" s="2459"/>
      <c r="D50" s="2420"/>
      <c r="E50" s="1979">
        <v>0.5</v>
      </c>
      <c r="F50" s="1979"/>
      <c r="G50" s="1979">
        <v>2.5</v>
      </c>
      <c r="H50" s="1979"/>
      <c r="I50" s="1979">
        <v>0.79999999999999982</v>
      </c>
      <c r="J50" s="1979"/>
      <c r="K50" s="1979">
        <v>0</v>
      </c>
      <c r="L50" s="2560"/>
      <c r="M50" s="1979">
        <v>0</v>
      </c>
      <c r="N50" s="2560"/>
      <c r="O50" s="1979">
        <v>0</v>
      </c>
      <c r="P50" s="2560"/>
      <c r="Q50" s="1979">
        <v>1</v>
      </c>
      <c r="R50" s="2560"/>
      <c r="S50" s="1768">
        <v>0</v>
      </c>
      <c r="T50" s="2560"/>
      <c r="U50" s="1768">
        <v>5.3999999999999995</v>
      </c>
      <c r="V50" s="2560"/>
      <c r="W50" s="1768">
        <f t="shared" si="4"/>
        <v>1.5</v>
      </c>
      <c r="X50" s="2560"/>
      <c r="Y50" s="1768"/>
      <c r="Z50" s="2560"/>
      <c r="AA50" s="1768"/>
      <c r="AB50" s="1974"/>
      <c r="AC50" s="2018"/>
      <c r="AD50" s="1979">
        <v>11.7</v>
      </c>
      <c r="AE50" s="3133"/>
      <c r="AF50" s="1956"/>
      <c r="AG50" s="1979">
        <v>17.3</v>
      </c>
      <c r="AH50" s="1973"/>
      <c r="AI50" s="2564"/>
      <c r="AJ50" s="1974">
        <f t="shared" si="2"/>
        <v>-5.6</v>
      </c>
      <c r="AK50" s="2561"/>
      <c r="AL50" s="2571">
        <f>ROUND(IF(AG50=0,1,AJ50/ABS(AG50)),3)</f>
        <v>-0.32400000000000001</v>
      </c>
    </row>
    <row r="51" spans="1:41" ht="15.6">
      <c r="A51" s="2420"/>
      <c r="B51" s="2440" t="s">
        <v>949</v>
      </c>
      <c r="C51" s="2459"/>
      <c r="D51" s="2420"/>
      <c r="E51" s="1979">
        <v>3.3</v>
      </c>
      <c r="F51" s="1979"/>
      <c r="G51" s="1979">
        <v>0.79999999999999982</v>
      </c>
      <c r="H51" s="1979"/>
      <c r="I51" s="1979">
        <v>1.4000000000000004</v>
      </c>
      <c r="J51" s="1979"/>
      <c r="K51" s="1979">
        <v>1.5999999999999996</v>
      </c>
      <c r="L51" s="2560"/>
      <c r="M51" s="1979">
        <v>1.2000000000000011</v>
      </c>
      <c r="N51" s="2560"/>
      <c r="O51" s="1979">
        <v>1.5</v>
      </c>
      <c r="P51" s="2560"/>
      <c r="Q51" s="1979">
        <v>1.8999999999999977</v>
      </c>
      <c r="R51" s="2560"/>
      <c r="S51" s="1768">
        <v>3.200000000000002</v>
      </c>
      <c r="T51" s="2560"/>
      <c r="U51" s="1768">
        <v>4.9999999999999973</v>
      </c>
      <c r="V51" s="2560"/>
      <c r="W51" s="1768">
        <f t="shared" si="4"/>
        <v>0.60000000000000142</v>
      </c>
      <c r="X51" s="2560"/>
      <c r="Y51" s="1768"/>
      <c r="Z51" s="2560"/>
      <c r="AA51" s="1768"/>
      <c r="AB51" s="1974"/>
      <c r="AC51" s="2018"/>
      <c r="AD51" s="1979">
        <v>20.5</v>
      </c>
      <c r="AE51" s="3133"/>
      <c r="AF51" s="1956"/>
      <c r="AG51" s="1979">
        <v>14.4</v>
      </c>
      <c r="AH51" s="1973"/>
      <c r="AI51" s="2564"/>
      <c r="AJ51" s="1974">
        <f t="shared" si="2"/>
        <v>6.1</v>
      </c>
      <c r="AK51" s="2561"/>
      <c r="AL51" s="1629">
        <f>ROUND(IF(AG51=0,0,AJ51/ABS(AG51)),3)</f>
        <v>0.42399999999999999</v>
      </c>
    </row>
    <row r="52" spans="1:41" ht="15.6">
      <c r="A52" s="2420"/>
      <c r="B52" s="2440" t="s">
        <v>1048</v>
      </c>
      <c r="C52" s="2459"/>
      <c r="D52" s="2420"/>
      <c r="E52" s="1979" t="s">
        <v>14</v>
      </c>
      <c r="F52" s="1979"/>
      <c r="G52" s="1979"/>
      <c r="H52" s="1979"/>
      <c r="I52" s="1979"/>
      <c r="J52" s="1979"/>
      <c r="K52" s="1979"/>
      <c r="L52" s="2560"/>
      <c r="M52" s="1979"/>
      <c r="N52" s="2560"/>
      <c r="O52" s="1979"/>
      <c r="P52" s="2560"/>
      <c r="Q52" s="1979"/>
      <c r="R52" s="2560"/>
      <c r="S52" s="1768"/>
      <c r="T52" s="2560"/>
      <c r="U52" s="1768"/>
      <c r="V52" s="2560"/>
      <c r="W52" s="1768"/>
      <c r="X52" s="2560"/>
      <c r="Y52" s="1768"/>
      <c r="Z52" s="2560"/>
      <c r="AA52" s="1768"/>
      <c r="AB52" s="1974"/>
      <c r="AC52" s="2018"/>
      <c r="AD52" s="2567"/>
      <c r="AE52" s="3133"/>
      <c r="AF52" s="1956"/>
      <c r="AG52" s="2567"/>
      <c r="AH52" s="1973"/>
      <c r="AI52" s="2564"/>
      <c r="AJ52" s="1974"/>
      <c r="AK52" s="2561"/>
      <c r="AL52" s="1777"/>
    </row>
    <row r="53" spans="1:41" ht="15.6">
      <c r="A53" s="2420"/>
      <c r="B53" s="2440" t="s">
        <v>978</v>
      </c>
      <c r="C53" s="2459"/>
      <c r="D53" s="2420"/>
      <c r="E53" s="1979">
        <v>0</v>
      </c>
      <c r="F53" s="1978"/>
      <c r="G53" s="1979">
        <v>0</v>
      </c>
      <c r="H53" s="1979"/>
      <c r="I53" s="1979">
        <v>0</v>
      </c>
      <c r="J53" s="1979"/>
      <c r="K53" s="1979">
        <v>0</v>
      </c>
      <c r="L53" s="2560"/>
      <c r="M53" s="1979">
        <v>0</v>
      </c>
      <c r="N53" s="2560"/>
      <c r="O53" s="1979">
        <v>0</v>
      </c>
      <c r="P53" s="2560"/>
      <c r="Q53" s="1979">
        <v>0</v>
      </c>
      <c r="R53" s="2560"/>
      <c r="S53" s="1768">
        <v>0</v>
      </c>
      <c r="T53" s="2560"/>
      <c r="U53" s="1768">
        <v>0</v>
      </c>
      <c r="V53" s="2560"/>
      <c r="W53" s="1768">
        <f t="shared" ref="W53:W59" si="5">$AD53-$E53-$G53-$I53-$K53-$M53-$O53-$Q53-U53-S53</f>
        <v>0</v>
      </c>
      <c r="X53" s="2560"/>
      <c r="Y53" s="1768"/>
      <c r="Z53" s="2560"/>
      <c r="AA53" s="1768"/>
      <c r="AB53" s="1974"/>
      <c r="AC53" s="2018"/>
      <c r="AD53" s="1979">
        <v>0</v>
      </c>
      <c r="AE53" s="3133"/>
      <c r="AF53" s="1956"/>
      <c r="AG53" s="1979">
        <v>0</v>
      </c>
      <c r="AH53" s="1973"/>
      <c r="AI53" s="2564"/>
      <c r="AJ53" s="1974">
        <f t="shared" si="2"/>
        <v>0</v>
      </c>
      <c r="AK53" s="2561"/>
      <c r="AL53" s="1629">
        <f>ROUND(IF(AG53=0,0,AJ53/ABS(AG53)),3)</f>
        <v>0</v>
      </c>
    </row>
    <row r="54" spans="1:41" ht="15.6">
      <c r="A54" s="2420"/>
      <c r="B54" s="2440" t="s">
        <v>980</v>
      </c>
      <c r="C54" s="2459"/>
      <c r="D54" s="2420"/>
      <c r="E54" s="1979">
        <v>1.8</v>
      </c>
      <c r="F54" s="1978"/>
      <c r="G54" s="1979">
        <v>1.3</v>
      </c>
      <c r="H54" s="1979"/>
      <c r="I54" s="1979">
        <v>2.9000000000000004</v>
      </c>
      <c r="J54" s="1979"/>
      <c r="K54" s="1979">
        <v>0.40000000000000036</v>
      </c>
      <c r="L54" s="2560"/>
      <c r="M54" s="1979">
        <v>0</v>
      </c>
      <c r="N54" s="2560"/>
      <c r="O54" s="1979">
        <v>1.1999999999999993</v>
      </c>
      <c r="P54" s="2560"/>
      <c r="Q54" s="1979">
        <v>5.2999999999999989</v>
      </c>
      <c r="R54" s="2560"/>
      <c r="S54" s="1768">
        <v>0.40000000000000036</v>
      </c>
      <c r="T54" s="2560"/>
      <c r="U54" s="1768">
        <v>3.0999999999999979</v>
      </c>
      <c r="V54" s="2560"/>
      <c r="W54" s="1768">
        <f t="shared" si="5"/>
        <v>5</v>
      </c>
      <c r="X54" s="2560"/>
      <c r="Y54" s="1768"/>
      <c r="Z54" s="2560"/>
      <c r="AA54" s="1768"/>
      <c r="AB54" s="1974"/>
      <c r="AC54" s="2018"/>
      <c r="AD54" s="1979">
        <v>21.4</v>
      </c>
      <c r="AE54" s="3133"/>
      <c r="AF54" s="1956"/>
      <c r="AG54" s="1979">
        <v>12.4</v>
      </c>
      <c r="AH54" s="1973"/>
      <c r="AI54" s="2564"/>
      <c r="AJ54" s="1974">
        <f t="shared" si="2"/>
        <v>9</v>
      </c>
      <c r="AK54" s="2561"/>
      <c r="AL54" s="2174">
        <f>ROUND(IF(AG54=0,1,AJ54/ABS(AG54)),3)</f>
        <v>0.72599999999999998</v>
      </c>
    </row>
    <row r="55" spans="1:41" ht="15.6">
      <c r="A55" s="2420"/>
      <c r="B55" s="2440" t="s">
        <v>981</v>
      </c>
      <c r="C55" s="2459"/>
      <c r="D55" s="2420"/>
      <c r="E55" s="1979">
        <v>0</v>
      </c>
      <c r="F55" s="1978"/>
      <c r="G55" s="1979">
        <v>0</v>
      </c>
      <c r="H55" s="1979"/>
      <c r="I55" s="1979">
        <v>0</v>
      </c>
      <c r="J55" s="1979"/>
      <c r="K55" s="1979">
        <v>0</v>
      </c>
      <c r="L55" s="2560"/>
      <c r="M55" s="1979">
        <v>0</v>
      </c>
      <c r="N55" s="2560"/>
      <c r="O55" s="1979">
        <v>12.8</v>
      </c>
      <c r="P55" s="2560"/>
      <c r="Q55" s="1979">
        <v>5.0999999999999979</v>
      </c>
      <c r="R55" s="2560"/>
      <c r="S55" s="1768">
        <v>17.200000000000003</v>
      </c>
      <c r="T55" s="2560"/>
      <c r="U55" s="1768">
        <v>5.7999999999999972</v>
      </c>
      <c r="V55" s="2560"/>
      <c r="W55" s="1768">
        <f t="shared" si="5"/>
        <v>6.6999999999999993</v>
      </c>
      <c r="X55" s="2560"/>
      <c r="Y55" s="1768"/>
      <c r="Z55" s="2560"/>
      <c r="AA55" s="1768"/>
      <c r="AB55" s="1974"/>
      <c r="AC55" s="2018"/>
      <c r="AD55" s="1979">
        <v>47.6</v>
      </c>
      <c r="AE55" s="2160"/>
      <c r="AF55" s="1956"/>
      <c r="AG55" s="1979">
        <v>0</v>
      </c>
      <c r="AH55" s="1973"/>
      <c r="AI55" s="2564"/>
      <c r="AJ55" s="1974">
        <f t="shared" si="2"/>
        <v>47.6</v>
      </c>
      <c r="AK55" s="2561"/>
      <c r="AL55" s="1629">
        <f>ROUND(IF(AG55=0,1,AJ55/ABS(AG55)),3)</f>
        <v>1</v>
      </c>
    </row>
    <row r="56" spans="1:41" ht="15.6">
      <c r="A56" s="2420"/>
      <c r="B56" s="2440" t="s">
        <v>983</v>
      </c>
      <c r="C56" s="2459"/>
      <c r="D56" s="2420"/>
      <c r="E56" s="1979">
        <v>0</v>
      </c>
      <c r="F56" s="1978"/>
      <c r="G56" s="1979">
        <v>0</v>
      </c>
      <c r="H56" s="1979"/>
      <c r="I56" s="1979">
        <v>0</v>
      </c>
      <c r="J56" s="1979"/>
      <c r="K56" s="1979">
        <v>0.1</v>
      </c>
      <c r="L56" s="2560"/>
      <c r="M56" s="1979">
        <v>-0.1</v>
      </c>
      <c r="N56" s="2560"/>
      <c r="O56" s="1979">
        <v>0</v>
      </c>
      <c r="P56" s="2560"/>
      <c r="Q56" s="1979">
        <v>0.1</v>
      </c>
      <c r="R56" s="2560"/>
      <c r="S56" s="1768">
        <v>0</v>
      </c>
      <c r="T56" s="2560"/>
      <c r="U56" s="1768">
        <v>0</v>
      </c>
      <c r="V56" s="2560"/>
      <c r="W56" s="1768">
        <f t="shared" si="5"/>
        <v>0</v>
      </c>
      <c r="X56" s="2560"/>
      <c r="Y56" s="1768"/>
      <c r="Z56" s="2560"/>
      <c r="AA56" s="1768"/>
      <c r="AB56" s="1974"/>
      <c r="AC56" s="2018"/>
      <c r="AD56" s="1979">
        <v>0.1</v>
      </c>
      <c r="AE56" s="3141"/>
      <c r="AF56" s="1956"/>
      <c r="AG56" s="1979">
        <v>0</v>
      </c>
      <c r="AH56" s="1973"/>
      <c r="AI56" s="2564"/>
      <c r="AJ56" s="1974">
        <f>ROUND(AD56-AG56,1)</f>
        <v>0.1</v>
      </c>
      <c r="AK56" s="2561"/>
      <c r="AL56" s="1629">
        <f>ROUND(IF(AG56=0,1,AJ56/ABS(AG56)),3)</f>
        <v>1</v>
      </c>
    </row>
    <row r="57" spans="1:41" ht="15.6">
      <c r="A57" s="2420"/>
      <c r="B57" s="2440" t="s">
        <v>984</v>
      </c>
      <c r="C57" s="2459"/>
      <c r="D57" s="2420"/>
      <c r="E57" s="1979">
        <v>0.3</v>
      </c>
      <c r="F57" s="1978"/>
      <c r="G57" s="1979">
        <v>1.3</v>
      </c>
      <c r="H57" s="1979"/>
      <c r="I57" s="1979">
        <v>1.6000000000000003</v>
      </c>
      <c r="J57" s="1979"/>
      <c r="K57" s="1979">
        <v>5.8999999999999986</v>
      </c>
      <c r="L57" s="2560"/>
      <c r="M57" s="1979">
        <v>1.8999999999999995</v>
      </c>
      <c r="N57" s="2560"/>
      <c r="O57" s="1979">
        <v>4.1000000000000005</v>
      </c>
      <c r="P57" s="2560"/>
      <c r="Q57" s="1979">
        <v>1.0999999999999996</v>
      </c>
      <c r="R57" s="2560"/>
      <c r="S57" s="1768">
        <v>7.9</v>
      </c>
      <c r="T57" s="2560"/>
      <c r="U57" s="1768">
        <v>1</v>
      </c>
      <c r="V57" s="2560"/>
      <c r="W57" s="1768">
        <f t="shared" si="5"/>
        <v>9.9999999999997868E-2</v>
      </c>
      <c r="X57" s="2560"/>
      <c r="Y57" s="1768"/>
      <c r="Z57" s="2560"/>
      <c r="AA57" s="1768"/>
      <c r="AB57" s="1974"/>
      <c r="AC57" s="2018"/>
      <c r="AD57" s="1979">
        <v>25.2</v>
      </c>
      <c r="AE57" s="3133"/>
      <c r="AF57" s="1956"/>
      <c r="AG57" s="1979">
        <v>11.1</v>
      </c>
      <c r="AH57" s="1973"/>
      <c r="AI57" s="2564"/>
      <c r="AJ57" s="1974">
        <f t="shared" si="2"/>
        <v>14.1</v>
      </c>
      <c r="AK57" s="2561"/>
      <c r="AL57" s="3593">
        <f>ROUND(IF(AG57=0,1,AJ57/ABS(AG57)),3)</f>
        <v>1.27</v>
      </c>
    </row>
    <row r="58" spans="1:41" ht="15.6">
      <c r="A58" s="2420"/>
      <c r="B58" s="2440" t="s">
        <v>986</v>
      </c>
      <c r="C58" s="2459"/>
      <c r="D58" s="2420"/>
      <c r="E58" s="1979">
        <v>2.4</v>
      </c>
      <c r="F58" s="1978"/>
      <c r="G58" s="1979">
        <v>1.9</v>
      </c>
      <c r="H58" s="1979"/>
      <c r="I58" s="1979">
        <v>11.7</v>
      </c>
      <c r="J58" s="1979"/>
      <c r="K58" s="1979">
        <v>1</v>
      </c>
      <c r="L58" s="2560"/>
      <c r="M58" s="1979">
        <v>6.5000000000000036</v>
      </c>
      <c r="N58" s="2560"/>
      <c r="O58" s="1979">
        <v>4.3999999999999986</v>
      </c>
      <c r="P58" s="2560"/>
      <c r="Q58" s="1979">
        <v>1.2000000000000028</v>
      </c>
      <c r="R58" s="2560"/>
      <c r="S58" s="1768">
        <v>2.0999999999999979</v>
      </c>
      <c r="T58" s="2560"/>
      <c r="U58" s="1768">
        <v>1.3000000000000007</v>
      </c>
      <c r="V58" s="2560"/>
      <c r="W58" s="1768">
        <f t="shared" si="5"/>
        <v>1.3999999999999986</v>
      </c>
      <c r="X58" s="2560"/>
      <c r="Y58" s="1768"/>
      <c r="Z58" s="2560"/>
      <c r="AA58" s="1768"/>
      <c r="AB58" s="1974"/>
      <c r="AC58" s="2018"/>
      <c r="AD58" s="1785">
        <v>33.9</v>
      </c>
      <c r="AE58" s="3133"/>
      <c r="AF58" s="1956"/>
      <c r="AG58" s="1785">
        <v>22.7</v>
      </c>
      <c r="AH58" s="1973"/>
      <c r="AI58" s="2564"/>
      <c r="AJ58" s="1974">
        <f t="shared" si="2"/>
        <v>11.2</v>
      </c>
      <c r="AK58" s="2561"/>
      <c r="AL58" s="2174">
        <f>ROUND(IF(AG58=0,0,AJ58/ABS(AG58)),3)</f>
        <v>0.49299999999999999</v>
      </c>
    </row>
    <row r="59" spans="1:41" ht="15.6">
      <c r="A59" s="2420"/>
      <c r="B59" s="2440" t="s">
        <v>959</v>
      </c>
      <c r="C59" s="2459"/>
      <c r="D59" s="2420"/>
      <c r="E59" s="1979">
        <v>0.1</v>
      </c>
      <c r="F59" s="1978"/>
      <c r="G59" s="1979">
        <v>0</v>
      </c>
      <c r="H59" s="1979"/>
      <c r="I59" s="1979">
        <v>0</v>
      </c>
      <c r="J59" s="1979"/>
      <c r="K59" s="1979">
        <v>0</v>
      </c>
      <c r="L59" s="2560"/>
      <c r="M59" s="1979">
        <v>0.1</v>
      </c>
      <c r="N59" s="2560"/>
      <c r="O59" s="1979">
        <v>9.9999999999999978E-2</v>
      </c>
      <c r="P59" s="2560"/>
      <c r="Q59" s="1979">
        <v>6.3000000000000007</v>
      </c>
      <c r="R59" s="2560"/>
      <c r="S59" s="1768">
        <v>0</v>
      </c>
      <c r="T59" s="2560"/>
      <c r="U59" s="1768">
        <v>0</v>
      </c>
      <c r="V59" s="2560"/>
      <c r="W59" s="1768">
        <f t="shared" si="5"/>
        <v>0</v>
      </c>
      <c r="X59" s="2560"/>
      <c r="Y59" s="1768"/>
      <c r="Z59" s="2560"/>
      <c r="AA59" s="1768"/>
      <c r="AB59" s="1974"/>
      <c r="AC59" s="2018"/>
      <c r="AD59" s="1785">
        <v>6.6</v>
      </c>
      <c r="AE59" s="3133"/>
      <c r="AF59" s="1956"/>
      <c r="AG59" s="1785">
        <v>0.2</v>
      </c>
      <c r="AH59" s="1973"/>
      <c r="AI59" s="2564"/>
      <c r="AJ59" s="1974">
        <f t="shared" si="2"/>
        <v>6.4</v>
      </c>
      <c r="AK59" s="2561"/>
      <c r="AL59" s="1773">
        <f>ROUND(IF(AG59=0,1,AJ59/ABS(AG59)),3)</f>
        <v>32</v>
      </c>
      <c r="AN59" s="2572"/>
    </row>
    <row r="60" spans="1:41" s="2575" customFormat="1" ht="15.6" collapsed="1">
      <c r="A60" s="2507"/>
      <c r="B60" s="2428" t="s">
        <v>1087</v>
      </c>
      <c r="C60" s="2507"/>
      <c r="D60" s="2507"/>
      <c r="E60" s="1444">
        <f>ROUND(SUM(E34:E59),1)</f>
        <v>181.3</v>
      </c>
      <c r="F60" s="2029"/>
      <c r="G60" s="1444">
        <f>ROUND(SUM(G34:G59),1)</f>
        <v>90.5</v>
      </c>
      <c r="H60" s="2573"/>
      <c r="I60" s="1444">
        <f>ROUND(SUM(I34:I59),1)</f>
        <v>117.4</v>
      </c>
      <c r="J60" s="2029"/>
      <c r="K60" s="1444">
        <f>ROUND(SUM(K34:K59),1)</f>
        <v>322.2</v>
      </c>
      <c r="L60" s="1979"/>
      <c r="M60" s="1444">
        <f>ROUND(SUM(M34:M59),1)</f>
        <v>114.5</v>
      </c>
      <c r="N60" s="1979"/>
      <c r="O60" s="1444">
        <f>ROUND(SUM(O34:O59),1)</f>
        <v>436.8</v>
      </c>
      <c r="P60" s="1974"/>
      <c r="Q60" s="1444">
        <f>ROUND(SUM(Q34:Q59),1)</f>
        <v>1073.9000000000001</v>
      </c>
      <c r="R60" s="1974"/>
      <c r="S60" s="1444">
        <f>ROUND(SUM(S34:S59),1)</f>
        <v>94.7</v>
      </c>
      <c r="T60" s="1974"/>
      <c r="U60" s="1444">
        <f>ROUND(SUM(U34:U59),1)</f>
        <v>671</v>
      </c>
      <c r="V60" s="1974"/>
      <c r="W60" s="1444">
        <f>ROUND(SUM(W34:W59),1)</f>
        <v>192.8</v>
      </c>
      <c r="X60" s="1974"/>
      <c r="Y60" s="1444">
        <f>ROUND(SUM(Y34:Y59),1)</f>
        <v>0</v>
      </c>
      <c r="Z60" s="1974"/>
      <c r="AA60" s="1444">
        <f>ROUND(SUM(AA34:AA59),1)</f>
        <v>0</v>
      </c>
      <c r="AB60" s="2029"/>
      <c r="AC60" s="2508"/>
      <c r="AD60" s="1444">
        <f>ROUND(SUM(AD34:AD59),1)</f>
        <v>3295.1</v>
      </c>
      <c r="AE60" s="3142"/>
      <c r="AF60" s="1446"/>
      <c r="AG60" s="1444">
        <f>ROUND(SUM(AG34:AG59),1)</f>
        <v>4838</v>
      </c>
      <c r="AH60" s="2566"/>
      <c r="AI60" s="2564"/>
      <c r="AJ60" s="1444">
        <f>ROUND(SUM(AJ34:AJ59),1)</f>
        <v>-1542.9</v>
      </c>
      <c r="AK60" s="2574"/>
      <c r="AL60" s="2175">
        <f>ROUND(IF(AG60=0,0,AJ60/ABS(AG60)),3)</f>
        <v>-0.31900000000000001</v>
      </c>
    </row>
    <row r="61" spans="1:41" s="2575" customFormat="1" ht="15.6">
      <c r="A61" s="2507"/>
      <c r="B61" s="2428"/>
      <c r="C61" s="2507"/>
      <c r="D61" s="2507"/>
      <c r="E61" s="1446"/>
      <c r="F61" s="2029"/>
      <c r="G61" s="1446"/>
      <c r="H61" s="2573"/>
      <c r="I61" s="1446"/>
      <c r="J61" s="2029"/>
      <c r="K61" s="1446"/>
      <c r="L61" s="2560"/>
      <c r="M61" s="1768"/>
      <c r="N61" s="2560"/>
      <c r="O61" s="1768"/>
      <c r="P61" s="2560"/>
      <c r="Q61" s="1768"/>
      <c r="R61" s="2560"/>
      <c r="S61" s="1768"/>
      <c r="T61" s="2560"/>
      <c r="U61" s="1768"/>
      <c r="V61" s="2560"/>
      <c r="W61" s="1768"/>
      <c r="X61" s="2560"/>
      <c r="Y61" s="1768"/>
      <c r="Z61" s="2560"/>
      <c r="AA61" s="1768"/>
      <c r="AB61" s="2029"/>
      <c r="AC61" s="2508"/>
      <c r="AD61" s="1446"/>
      <c r="AE61" s="3143"/>
      <c r="AF61" s="1446"/>
      <c r="AG61" s="1446"/>
      <c r="AH61" s="2566"/>
      <c r="AI61" s="2564"/>
      <c r="AJ61" s="1446"/>
      <c r="AK61" s="2574"/>
      <c r="AL61" s="2576"/>
    </row>
    <row r="62" spans="1:41" ht="15.6">
      <c r="A62" s="2420"/>
      <c r="B62" s="2420" t="s">
        <v>148</v>
      </c>
      <c r="C62" s="2420"/>
      <c r="D62" s="2420"/>
      <c r="E62" s="1979">
        <v>0</v>
      </c>
      <c r="F62" s="1979"/>
      <c r="G62" s="1979">
        <v>0</v>
      </c>
      <c r="H62" s="1979"/>
      <c r="I62" s="1979">
        <v>0</v>
      </c>
      <c r="J62" s="1979"/>
      <c r="K62" s="1979">
        <v>2.2999999999999998</v>
      </c>
      <c r="L62" s="2560"/>
      <c r="M62" s="1979">
        <v>2.2000000000000002</v>
      </c>
      <c r="N62" s="2560"/>
      <c r="O62" s="1979">
        <v>14.8</v>
      </c>
      <c r="P62" s="2560"/>
      <c r="Q62" s="1979">
        <v>-8.1000000000000014</v>
      </c>
      <c r="R62" s="2560"/>
      <c r="S62" s="1768">
        <v>0.60000000000000053</v>
      </c>
      <c r="T62" s="2560"/>
      <c r="U62" s="1768">
        <v>0</v>
      </c>
      <c r="V62" s="2560"/>
      <c r="W62" s="1768">
        <f>$AD62-$E62-$G62-$I62-$K62-$M62-$O62-$Q62-U62-S62</f>
        <v>0.19999999999999929</v>
      </c>
      <c r="X62" s="2560"/>
      <c r="Y62" s="1768"/>
      <c r="Z62" s="2560"/>
      <c r="AA62" s="1768"/>
      <c r="AB62" s="1974"/>
      <c r="AC62" s="2018"/>
      <c r="AD62" s="1979">
        <v>12</v>
      </c>
      <c r="AE62" s="3130"/>
      <c r="AF62" s="1956"/>
      <c r="AG62" s="1979">
        <v>2.1</v>
      </c>
      <c r="AH62" s="1973"/>
      <c r="AI62" s="2554"/>
      <c r="AJ62" s="1974">
        <f>ROUND(AD62-AG62,1)</f>
        <v>9.9</v>
      </c>
      <c r="AK62" s="2561"/>
      <c r="AL62" s="1629">
        <f>ROUND(IF(AG62=0,1,AJ62/ABS(AG62)),3)</f>
        <v>4.7140000000000004</v>
      </c>
    </row>
    <row r="63" spans="1:41" ht="15.6">
      <c r="A63" s="2420"/>
      <c r="B63" s="2420"/>
      <c r="C63" s="2420"/>
      <c r="D63" s="2420"/>
      <c r="E63" s="2448"/>
      <c r="F63" s="1979"/>
      <c r="G63" s="2448"/>
      <c r="H63" s="1979"/>
      <c r="I63" s="2448"/>
      <c r="J63" s="1979"/>
      <c r="K63" s="2577"/>
      <c r="L63" s="2560"/>
      <c r="M63" s="2578"/>
      <c r="N63" s="2579"/>
      <c r="O63" s="2578"/>
      <c r="P63" s="2579"/>
      <c r="Q63" s="2578"/>
      <c r="R63" s="2579"/>
      <c r="S63" s="2578"/>
      <c r="T63" s="2579"/>
      <c r="U63" s="2578"/>
      <c r="V63" s="2579"/>
      <c r="W63" s="2578"/>
      <c r="X63" s="2579"/>
      <c r="Y63" s="2578"/>
      <c r="Z63" s="2579"/>
      <c r="AA63" s="2578"/>
      <c r="AB63" s="1974"/>
      <c r="AC63" s="2018"/>
      <c r="AD63" s="2030"/>
      <c r="AE63" s="3130"/>
      <c r="AF63" s="1956"/>
      <c r="AG63" s="2030"/>
      <c r="AH63" s="1956"/>
      <c r="AI63" s="2554"/>
      <c r="AJ63" s="2030"/>
      <c r="AK63" s="2552"/>
      <c r="AL63" s="2148"/>
    </row>
    <row r="64" spans="1:41" ht="15.6">
      <c r="A64" s="2420"/>
      <c r="B64" s="2507" t="s">
        <v>195</v>
      </c>
      <c r="C64" s="2420"/>
      <c r="D64" s="2420"/>
      <c r="E64" s="2033">
        <f>ROUND(SUM(E32+E60+E62),1)</f>
        <v>266.10000000000002</v>
      </c>
      <c r="F64" s="2029"/>
      <c r="G64" s="2580">
        <f>ROUND(SUM(G32+G60+G62),1)</f>
        <v>183.1</v>
      </c>
      <c r="H64" s="2029"/>
      <c r="I64" s="2580">
        <f>ROUND(SUM(I32+I60+I62),1)</f>
        <v>248.5</v>
      </c>
      <c r="J64" s="2029"/>
      <c r="K64" s="2580">
        <f>ROUND(SUM(K32+K60+K62),1)</f>
        <v>437.4</v>
      </c>
      <c r="L64" s="2029"/>
      <c r="M64" s="1540">
        <f>ROUND(SUM(M32+M60+M62),1)</f>
        <v>231.7</v>
      </c>
      <c r="N64" s="1446"/>
      <c r="O64" s="1540">
        <f>ROUND(SUM(O32+O60+O62),1)</f>
        <v>583</v>
      </c>
      <c r="P64" s="1446"/>
      <c r="Q64" s="1540">
        <f>ROUND(SUM(Q32+Q60+Q62),1)</f>
        <v>1176.8</v>
      </c>
      <c r="R64" s="1446"/>
      <c r="S64" s="1540">
        <f>ROUND(SUM(S32+S60+S62),1)</f>
        <v>195.1</v>
      </c>
      <c r="T64" s="1446"/>
      <c r="U64" s="1540">
        <f>ROUND(SUM(U32+U60+U62),1)</f>
        <v>800.8</v>
      </c>
      <c r="V64" s="1446"/>
      <c r="W64" s="1540">
        <f>ROUND(SUM(W32+W60+W62),1)</f>
        <v>288.3</v>
      </c>
      <c r="X64" s="1446"/>
      <c r="Y64" s="1540">
        <f>ROUND(SUM(Y32+Y60+Y62),1)</f>
        <v>0</v>
      </c>
      <c r="Z64" s="1446"/>
      <c r="AA64" s="1540">
        <f>ROUND(SUM(AA32+AA60+AA62),1)</f>
        <v>0</v>
      </c>
      <c r="AB64" s="2029"/>
      <c r="AC64" s="2508"/>
      <c r="AD64" s="1540">
        <f>ROUND(SUM(AD32+AD60+AD62),1)</f>
        <v>4410.8</v>
      </c>
      <c r="AE64" s="3142"/>
      <c r="AF64" s="1446"/>
      <c r="AG64" s="1540">
        <f>ROUND(SUM(AG32+AG60+AG62),1)</f>
        <v>5826.6</v>
      </c>
      <c r="AH64" s="2566"/>
      <c r="AI64" s="2554"/>
      <c r="AJ64" s="1540">
        <f>ROUND(SUM(AJ32+AJ60+AJ62),1)</f>
        <v>-1415.8</v>
      </c>
      <c r="AK64" s="2581"/>
      <c r="AL64" s="2582">
        <f>ROUND(IF(AG64=0,0,AJ64/ABS(AG64)),3)</f>
        <v>-0.24299999999999999</v>
      </c>
      <c r="AM64" s="2575"/>
      <c r="AO64" s="2599"/>
    </row>
    <row r="65" spans="1:41" ht="15.6">
      <c r="A65" s="2420"/>
      <c r="B65" s="2420"/>
      <c r="C65" s="2420"/>
      <c r="D65" s="2420"/>
      <c r="E65" s="2020"/>
      <c r="F65" s="1979"/>
      <c r="G65" s="2448"/>
      <c r="H65" s="1979"/>
      <c r="I65" s="2448"/>
      <c r="J65" s="1979"/>
      <c r="K65" s="2448"/>
      <c r="L65" s="2560"/>
      <c r="M65" s="1768"/>
      <c r="N65" s="2560"/>
      <c r="O65" s="1768"/>
      <c r="P65" s="2560"/>
      <c r="Q65" s="1768"/>
      <c r="R65" s="2560"/>
      <c r="S65" s="1768"/>
      <c r="T65" s="2560"/>
      <c r="U65" s="1768"/>
      <c r="V65" s="2560"/>
      <c r="W65" s="1768"/>
      <c r="X65" s="2560"/>
      <c r="Y65" s="1768"/>
      <c r="Z65" s="2560"/>
      <c r="AA65" s="1768"/>
      <c r="AB65" s="2160"/>
      <c r="AC65" s="1956"/>
      <c r="AD65" s="2030"/>
      <c r="AE65" s="2160"/>
      <c r="AF65" s="1956"/>
      <c r="AG65" s="2030"/>
      <c r="AH65" s="1956"/>
      <c r="AI65" s="2554"/>
      <c r="AJ65" s="2555"/>
      <c r="AK65" s="2552"/>
      <c r="AL65" s="1777"/>
    </row>
    <row r="66" spans="1:41" ht="15.6">
      <c r="A66" s="2420"/>
      <c r="B66" s="2507" t="s">
        <v>22</v>
      </c>
      <c r="C66" s="2420"/>
      <c r="D66" s="2420"/>
      <c r="E66" s="1979"/>
      <c r="F66" s="1979"/>
      <c r="G66" s="1979"/>
      <c r="H66" s="1979"/>
      <c r="I66" s="1979"/>
      <c r="J66" s="1979"/>
      <c r="K66" s="1979"/>
      <c r="L66" s="2560"/>
      <c r="M66" s="1768"/>
      <c r="N66" s="2560"/>
      <c r="O66" s="1768"/>
      <c r="P66" s="2560"/>
      <c r="Q66" s="1768"/>
      <c r="R66" s="2560"/>
      <c r="S66" s="1768"/>
      <c r="T66" s="2560"/>
      <c r="U66" s="1768"/>
      <c r="V66" s="2560"/>
      <c r="W66" s="1768"/>
      <c r="X66" s="2560"/>
      <c r="Y66" s="1768"/>
      <c r="Z66" s="2560"/>
      <c r="AA66" s="1768"/>
      <c r="AB66" s="2160"/>
      <c r="AC66" s="1956"/>
      <c r="AD66" s="1974"/>
      <c r="AE66" s="2160"/>
      <c r="AF66" s="1956"/>
      <c r="AG66" s="1974"/>
      <c r="AH66" s="1974"/>
      <c r="AI66" s="2554"/>
      <c r="AJ66" s="2555"/>
      <c r="AK66" s="2552"/>
      <c r="AL66" s="1777"/>
    </row>
    <row r="67" spans="1:41" ht="15.6">
      <c r="A67" s="2420"/>
      <c r="B67" s="2420" t="s">
        <v>150</v>
      </c>
      <c r="C67" s="2420"/>
      <c r="D67" s="2420"/>
      <c r="E67" s="1979"/>
      <c r="F67" s="1979"/>
      <c r="G67" s="1979"/>
      <c r="H67" s="1979"/>
      <c r="I67" s="1979"/>
      <c r="J67" s="1979"/>
      <c r="K67" s="1979"/>
      <c r="L67" s="2560"/>
      <c r="M67" s="1768"/>
      <c r="N67" s="2560"/>
      <c r="O67" s="1768"/>
      <c r="P67" s="2560"/>
      <c r="Q67" s="1768"/>
      <c r="R67" s="2560"/>
      <c r="S67" s="1768"/>
      <c r="T67" s="2560"/>
      <c r="U67" s="1768"/>
      <c r="V67" s="2560"/>
      <c r="W67" s="1768"/>
      <c r="X67" s="2560"/>
      <c r="Y67" s="1768"/>
      <c r="Z67" s="2560"/>
      <c r="AA67" s="1768"/>
      <c r="AB67" s="1974"/>
      <c r="AC67" s="2018"/>
      <c r="AD67" s="1974"/>
      <c r="AE67" s="3130"/>
      <c r="AF67" s="1956"/>
      <c r="AG67" s="1974"/>
      <c r="AH67" s="1974"/>
      <c r="AI67" s="2554"/>
      <c r="AJ67" s="2555"/>
      <c r="AK67" s="2552"/>
      <c r="AL67" s="1777"/>
    </row>
    <row r="68" spans="1:41" ht="15.6">
      <c r="A68" s="2420"/>
      <c r="B68" s="2420" t="s">
        <v>24</v>
      </c>
      <c r="C68" s="2420"/>
      <c r="D68" s="2420"/>
      <c r="E68" s="1979">
        <v>13.5</v>
      </c>
      <c r="F68" s="1979"/>
      <c r="G68" s="1979">
        <v>25</v>
      </c>
      <c r="H68" s="1979"/>
      <c r="I68" s="1979">
        <v>45.5</v>
      </c>
      <c r="J68" s="1979"/>
      <c r="K68" s="1979">
        <v>13</v>
      </c>
      <c r="L68" s="2560"/>
      <c r="M68" s="1979">
        <v>10.400000000000006</v>
      </c>
      <c r="N68" s="2560"/>
      <c r="O68" s="1979">
        <v>8.2999999999999972</v>
      </c>
      <c r="P68" s="2560"/>
      <c r="Q68" s="1979">
        <v>15.200000000000003</v>
      </c>
      <c r="R68" s="2560"/>
      <c r="S68" s="1768">
        <v>0.90000000000000568</v>
      </c>
      <c r="T68" s="2560"/>
      <c r="U68" s="1768">
        <v>1.2999999999999829</v>
      </c>
      <c r="V68" s="2560"/>
      <c r="W68" s="1768">
        <f t="shared" ref="W68:W70" si="6">$AD68-$E68-$G68-$I68-$K68-$M68-$O68-$Q68-U68-S68</f>
        <v>4.7000000000000171</v>
      </c>
      <c r="X68" s="2560"/>
      <c r="Y68" s="1768"/>
      <c r="Z68" s="2560"/>
      <c r="AA68" s="1768"/>
      <c r="AB68" s="1974"/>
      <c r="AC68" s="2018"/>
      <c r="AD68" s="1979">
        <v>137.80000000000001</v>
      </c>
      <c r="AE68" s="3130"/>
      <c r="AF68" s="1956"/>
      <c r="AG68" s="1979">
        <v>91.7</v>
      </c>
      <c r="AH68" s="1973"/>
      <c r="AI68" s="2564"/>
      <c r="AJ68" s="1974">
        <f t="shared" ref="AJ68:AJ77" si="7">ROUND(AD68-AG68,1)</f>
        <v>46.1</v>
      </c>
      <c r="AK68" s="2561"/>
      <c r="AL68" s="3593">
        <f>ROUND(IF(AG68=0,1,AJ68/ABS(AG68)),3)</f>
        <v>0.503</v>
      </c>
    </row>
    <row r="69" spans="1:41" ht="15.6">
      <c r="A69" s="2420"/>
      <c r="B69" s="2420" t="s">
        <v>25</v>
      </c>
      <c r="C69" s="2420"/>
      <c r="D69" s="2420"/>
      <c r="E69" s="1979">
        <v>29</v>
      </c>
      <c r="F69" s="1979"/>
      <c r="G69" s="1979">
        <v>7.6000000000000014</v>
      </c>
      <c r="H69" s="1979"/>
      <c r="I69" s="1979">
        <v>15.699999999999996</v>
      </c>
      <c r="J69" s="1979"/>
      <c r="K69" s="1979">
        <v>15.299999999999997</v>
      </c>
      <c r="L69" s="2560"/>
      <c r="M69" s="1979">
        <v>31.799999999999997</v>
      </c>
      <c r="N69" s="2560"/>
      <c r="O69" s="1979">
        <v>15.600000000000016</v>
      </c>
      <c r="P69" s="2560"/>
      <c r="Q69" s="1979">
        <v>15.900000000000013</v>
      </c>
      <c r="R69" s="2560"/>
      <c r="S69" s="1768">
        <v>11</v>
      </c>
      <c r="T69" s="2560"/>
      <c r="U69" s="1768">
        <v>32.299999999999983</v>
      </c>
      <c r="V69" s="2560"/>
      <c r="W69" s="1768">
        <f t="shared" si="6"/>
        <v>11.300000000000004</v>
      </c>
      <c r="X69" s="2560"/>
      <c r="Y69" s="1768"/>
      <c r="Z69" s="2560"/>
      <c r="AA69" s="1768"/>
      <c r="AB69" s="1974"/>
      <c r="AC69" s="2018"/>
      <c r="AD69" s="1979">
        <v>185.5</v>
      </c>
      <c r="AE69" s="3130"/>
      <c r="AF69" s="1956"/>
      <c r="AG69" s="1979">
        <v>143.5</v>
      </c>
      <c r="AH69" s="1973"/>
      <c r="AI69" s="2564"/>
      <c r="AJ69" s="1974">
        <f t="shared" si="7"/>
        <v>42</v>
      </c>
      <c r="AK69" s="2561"/>
      <c r="AL69" s="1629">
        <f>ROUND(IF(AG69=0,0,AJ69/ABS(AG69)),3)</f>
        <v>0.29299999999999998</v>
      </c>
    </row>
    <row r="70" spans="1:41" ht="15.6">
      <c r="A70" s="2420"/>
      <c r="B70" s="2420" t="s">
        <v>26</v>
      </c>
      <c r="C70" s="2420"/>
      <c r="D70" s="2420"/>
      <c r="E70" s="1979">
        <v>12.7</v>
      </c>
      <c r="F70" s="1979"/>
      <c r="G70" s="1979">
        <v>41.7</v>
      </c>
      <c r="H70" s="1979"/>
      <c r="I70" s="1979">
        <v>37.899999999999991</v>
      </c>
      <c r="J70" s="1979"/>
      <c r="K70" s="1979">
        <v>22.200000000000003</v>
      </c>
      <c r="L70" s="2560"/>
      <c r="M70" s="1979">
        <v>30.800000000000026</v>
      </c>
      <c r="N70" s="2560"/>
      <c r="O70" s="1979">
        <v>59.899999999999991</v>
      </c>
      <c r="P70" s="2560"/>
      <c r="Q70" s="1979">
        <v>28.200000000000003</v>
      </c>
      <c r="R70" s="2560"/>
      <c r="S70" s="1768">
        <v>35.800000000000026</v>
      </c>
      <c r="T70" s="2560"/>
      <c r="U70" s="1768">
        <v>111.70000000000003</v>
      </c>
      <c r="V70" s="2560"/>
      <c r="W70" s="1768">
        <f t="shared" si="6"/>
        <v>19.199999999999989</v>
      </c>
      <c r="X70" s="2560"/>
      <c r="Y70" s="1768"/>
      <c r="Z70" s="2560"/>
      <c r="AA70" s="1768"/>
      <c r="AB70" s="1974"/>
      <c r="AC70" s="2018"/>
      <c r="AD70" s="1979">
        <v>400.09999999999997</v>
      </c>
      <c r="AE70" s="3130"/>
      <c r="AF70" s="1956"/>
      <c r="AG70" s="1979">
        <v>464.09999999999997</v>
      </c>
      <c r="AH70" s="1973"/>
      <c r="AI70" s="2564"/>
      <c r="AJ70" s="1974">
        <f t="shared" si="7"/>
        <v>-64</v>
      </c>
      <c r="AK70" s="2561"/>
      <c r="AL70" s="1629">
        <f>ROUND(IF(AG70=0,0,AJ70/ABS(AG70)),3)</f>
        <v>-0.13800000000000001</v>
      </c>
      <c r="AM70" s="2552"/>
    </row>
    <row r="71" spans="1:41" ht="15.6">
      <c r="A71" s="2420"/>
      <c r="B71" s="2420" t="s">
        <v>27</v>
      </c>
      <c r="C71" s="2420"/>
      <c r="D71" s="2420"/>
      <c r="E71" s="1979" t="s">
        <v>14</v>
      </c>
      <c r="F71" s="1979"/>
      <c r="G71" s="1979"/>
      <c r="H71" s="1979"/>
      <c r="I71" s="1979"/>
      <c r="J71" s="1979"/>
      <c r="K71" s="1979"/>
      <c r="L71" s="2560"/>
      <c r="M71" s="1979"/>
      <c r="N71" s="2560"/>
      <c r="O71" s="1979"/>
      <c r="P71" s="2560"/>
      <c r="Q71" s="1768"/>
      <c r="R71" s="2560"/>
      <c r="S71" s="1768"/>
      <c r="T71" s="2560"/>
      <c r="U71" s="1768"/>
      <c r="V71" s="2560"/>
      <c r="W71" s="1768"/>
      <c r="X71" s="2560"/>
      <c r="Y71" s="1768"/>
      <c r="Z71" s="2560"/>
      <c r="AA71" s="1768"/>
      <c r="AB71" s="1974"/>
      <c r="AC71" s="2018"/>
      <c r="AD71" s="1979"/>
      <c r="AE71" s="3130"/>
      <c r="AF71" s="1956"/>
      <c r="AG71" s="1979"/>
      <c r="AH71" s="1974"/>
      <c r="AI71" s="2554"/>
      <c r="AJ71" s="1979"/>
      <c r="AK71" s="2561"/>
      <c r="AL71" s="1777"/>
      <c r="AM71" s="2552"/>
    </row>
    <row r="72" spans="1:41" ht="15.6">
      <c r="A72" s="2420"/>
      <c r="B72" s="2420" t="s">
        <v>28</v>
      </c>
      <c r="C72" s="2507"/>
      <c r="D72" s="2420"/>
      <c r="E72" s="1979">
        <v>0</v>
      </c>
      <c r="F72" s="1979"/>
      <c r="G72" s="1979">
        <v>0</v>
      </c>
      <c r="H72" s="1979"/>
      <c r="I72" s="1979">
        <v>0</v>
      </c>
      <c r="J72" s="1979"/>
      <c r="K72" s="1979">
        <v>0</v>
      </c>
      <c r="L72" s="2560"/>
      <c r="M72" s="1979">
        <v>0</v>
      </c>
      <c r="N72" s="2560"/>
      <c r="O72" s="1979">
        <v>0</v>
      </c>
      <c r="P72" s="2560"/>
      <c r="Q72" s="1979">
        <v>0</v>
      </c>
      <c r="R72" s="2560"/>
      <c r="S72" s="1768">
        <v>0</v>
      </c>
      <c r="T72" s="2560"/>
      <c r="U72" s="1768">
        <v>0</v>
      </c>
      <c r="V72" s="2560"/>
      <c r="W72" s="1768">
        <f t="shared" ref="W72:W77" si="8">$AD72-$E72-$G72-$I72-$K72-$M72-$O72-$Q72-U72-S72</f>
        <v>0</v>
      </c>
      <c r="X72" s="2560"/>
      <c r="Y72" s="1768"/>
      <c r="Z72" s="2560"/>
      <c r="AA72" s="1768"/>
      <c r="AB72" s="1974"/>
      <c r="AC72" s="2018"/>
      <c r="AD72" s="1979">
        <v>0</v>
      </c>
      <c r="AE72" s="3130"/>
      <c r="AF72" s="1956"/>
      <c r="AG72" s="1979">
        <v>0</v>
      </c>
      <c r="AH72" s="1974"/>
      <c r="AI72" s="2554"/>
      <c r="AJ72" s="1974">
        <f t="shared" si="7"/>
        <v>0</v>
      </c>
      <c r="AK72" s="2552"/>
      <c r="AL72" s="2174">
        <f>ROUND(IF(AG72=0,0,AJ72/ABS(AG72)),3)</f>
        <v>0</v>
      </c>
      <c r="AM72" s="2552"/>
    </row>
    <row r="73" spans="1:41" ht="15.6">
      <c r="A73" s="2420"/>
      <c r="B73" s="2420" t="s">
        <v>29</v>
      </c>
      <c r="C73" s="2420"/>
      <c r="D73" s="2420"/>
      <c r="E73" s="1979">
        <v>45.1</v>
      </c>
      <c r="F73" s="1979"/>
      <c r="G73" s="1979">
        <v>29.699999999999996</v>
      </c>
      <c r="H73" s="1979"/>
      <c r="I73" s="1979">
        <v>77.200000000000017</v>
      </c>
      <c r="J73" s="1979"/>
      <c r="K73" s="1979">
        <v>41.699999999999989</v>
      </c>
      <c r="L73" s="2560"/>
      <c r="M73" s="1979">
        <v>35</v>
      </c>
      <c r="N73" s="2560"/>
      <c r="O73" s="1979">
        <v>36.199999999999989</v>
      </c>
      <c r="P73" s="2560"/>
      <c r="Q73" s="1979">
        <v>41.499999999999972</v>
      </c>
      <c r="R73" s="2560"/>
      <c r="S73" s="1768">
        <v>62.200000000000045</v>
      </c>
      <c r="T73" s="2560"/>
      <c r="U73" s="1768">
        <v>65.000000000000028</v>
      </c>
      <c r="V73" s="2560"/>
      <c r="W73" s="1768">
        <f t="shared" si="8"/>
        <v>83.399999999999977</v>
      </c>
      <c r="X73" s="2560"/>
      <c r="Y73" s="1768"/>
      <c r="Z73" s="2560"/>
      <c r="AA73" s="1768"/>
      <c r="AB73" s="1974"/>
      <c r="AC73" s="2018"/>
      <c r="AD73" s="1979">
        <v>517</v>
      </c>
      <c r="AE73" s="3130"/>
      <c r="AF73" s="1956"/>
      <c r="AG73" s="1979">
        <v>435.4</v>
      </c>
      <c r="AH73" s="1973"/>
      <c r="AI73" s="2564"/>
      <c r="AJ73" s="1974">
        <f t="shared" si="7"/>
        <v>81.599999999999994</v>
      </c>
      <c r="AK73" s="2561"/>
      <c r="AL73" s="1629">
        <f>ROUND(IF(AG73=0,0,AJ73/ABS(AG73)),3)</f>
        <v>0.187</v>
      </c>
    </row>
    <row r="74" spans="1:41" ht="15.6">
      <c r="A74" s="2420"/>
      <c r="B74" s="2420" t="s">
        <v>30</v>
      </c>
      <c r="C74" s="2420"/>
      <c r="D74" s="2420"/>
      <c r="E74" s="1979">
        <v>0.4</v>
      </c>
      <c r="F74" s="1979"/>
      <c r="G74" s="1979">
        <v>1.8000000000000003</v>
      </c>
      <c r="H74" s="1979"/>
      <c r="I74" s="1979">
        <v>7.1</v>
      </c>
      <c r="J74" s="1979"/>
      <c r="K74" s="1979">
        <v>5.3999999999999986</v>
      </c>
      <c r="L74" s="2560"/>
      <c r="M74" s="1979">
        <v>2.2000000000000011</v>
      </c>
      <c r="N74" s="2560"/>
      <c r="O74" s="1979">
        <v>0.70000000000000284</v>
      </c>
      <c r="P74" s="2560"/>
      <c r="Q74" s="1979">
        <v>3.5</v>
      </c>
      <c r="R74" s="2560"/>
      <c r="S74" s="1768">
        <v>2.5999999999999979</v>
      </c>
      <c r="T74" s="2560"/>
      <c r="U74" s="1768">
        <v>4.3000000000000025</v>
      </c>
      <c r="V74" s="2560"/>
      <c r="W74" s="1768">
        <f t="shared" si="8"/>
        <v>6.3999999999999968</v>
      </c>
      <c r="X74" s="2560"/>
      <c r="Y74" s="1768"/>
      <c r="Z74" s="2560"/>
      <c r="AA74" s="1768"/>
      <c r="AB74" s="1974"/>
      <c r="AC74" s="2018"/>
      <c r="AD74" s="1979">
        <v>34.4</v>
      </c>
      <c r="AE74" s="3130"/>
      <c r="AF74" s="1956"/>
      <c r="AG74" s="1979">
        <v>41</v>
      </c>
      <c r="AH74" s="1973"/>
      <c r="AI74" s="2564"/>
      <c r="AJ74" s="1974">
        <f t="shared" si="7"/>
        <v>-6.6</v>
      </c>
      <c r="AK74" s="2561"/>
      <c r="AL74" s="1708">
        <f>ROUND(IF(AG74=0,1,AJ74/ABS(AG74)),3)</f>
        <v>-0.161</v>
      </c>
      <c r="AM74" s="2552"/>
    </row>
    <row r="75" spans="1:41" ht="15.6">
      <c r="A75" s="2420"/>
      <c r="B75" s="2420" t="s">
        <v>31</v>
      </c>
      <c r="C75" s="2420"/>
      <c r="D75" s="2420"/>
      <c r="E75" s="1979">
        <v>28.2</v>
      </c>
      <c r="F75" s="1979"/>
      <c r="G75" s="1979">
        <v>55.8</v>
      </c>
      <c r="H75" s="1979"/>
      <c r="I75" s="1979">
        <v>124.60000000000001</v>
      </c>
      <c r="J75" s="1979"/>
      <c r="K75" s="1979">
        <v>54.59999999999998</v>
      </c>
      <c r="L75" s="2560"/>
      <c r="M75" s="1979">
        <v>12.5</v>
      </c>
      <c r="N75" s="2560"/>
      <c r="O75" s="1979">
        <v>39.400000000000034</v>
      </c>
      <c r="P75" s="2560"/>
      <c r="Q75" s="1979">
        <v>38.29999999999994</v>
      </c>
      <c r="R75" s="2560"/>
      <c r="S75" s="1768">
        <v>20.700000000000045</v>
      </c>
      <c r="T75" s="2560"/>
      <c r="U75" s="1768">
        <v>141.79999999999995</v>
      </c>
      <c r="V75" s="2560"/>
      <c r="W75" s="1768">
        <f t="shared" si="8"/>
        <v>2.2000000000000455</v>
      </c>
      <c r="X75" s="2560"/>
      <c r="Y75" s="1768"/>
      <c r="Z75" s="2560"/>
      <c r="AA75" s="1768"/>
      <c r="AB75" s="1974"/>
      <c r="AC75" s="2018"/>
      <c r="AD75" s="1979">
        <v>518.1</v>
      </c>
      <c r="AE75" s="3130"/>
      <c r="AF75" s="1956"/>
      <c r="AG75" s="1979">
        <v>488.2</v>
      </c>
      <c r="AH75" s="1974"/>
      <c r="AI75" s="2554"/>
      <c r="AJ75" s="1974">
        <f t="shared" si="7"/>
        <v>29.9</v>
      </c>
      <c r="AK75" s="2561"/>
      <c r="AL75" s="1773">
        <f>ROUND(IF(AG75=0,1,AJ75/ABS(AG75)),3)</f>
        <v>6.0999999999999999E-2</v>
      </c>
      <c r="AM75" s="2552"/>
    </row>
    <row r="76" spans="1:41" ht="15.6">
      <c r="A76" s="2420"/>
      <c r="B76" s="2420" t="s">
        <v>32</v>
      </c>
      <c r="C76" s="2507"/>
      <c r="D76" s="2420"/>
      <c r="E76" s="1979">
        <v>21.200000000000003</v>
      </c>
      <c r="F76" s="1979"/>
      <c r="G76" s="1979">
        <v>54.3</v>
      </c>
      <c r="H76" s="1979"/>
      <c r="I76" s="1979">
        <v>147.19999999999999</v>
      </c>
      <c r="J76" s="1979"/>
      <c r="K76" s="1979">
        <v>39.5</v>
      </c>
      <c r="L76" s="2560"/>
      <c r="M76" s="1979">
        <v>33.199999999999989</v>
      </c>
      <c r="N76" s="2560"/>
      <c r="O76" s="1979">
        <v>104.80000000000001</v>
      </c>
      <c r="P76" s="2560"/>
      <c r="Q76" s="1979">
        <v>39.5</v>
      </c>
      <c r="R76" s="2560"/>
      <c r="S76" s="1768">
        <v>24.900000000000034</v>
      </c>
      <c r="T76" s="2560"/>
      <c r="U76" s="1768">
        <v>78.699999999999875</v>
      </c>
      <c r="V76" s="2560"/>
      <c r="W76" s="1768">
        <f t="shared" si="8"/>
        <v>24.300000000000068</v>
      </c>
      <c r="X76" s="2560"/>
      <c r="Y76" s="1768"/>
      <c r="Z76" s="2560"/>
      <c r="AA76" s="1768"/>
      <c r="AB76" s="1974"/>
      <c r="AC76" s="2018"/>
      <c r="AD76" s="1979">
        <v>567.6</v>
      </c>
      <c r="AE76" s="3130"/>
      <c r="AF76" s="1956"/>
      <c r="AG76" s="1979">
        <v>415.7</v>
      </c>
      <c r="AH76" s="1974"/>
      <c r="AI76" s="2554"/>
      <c r="AJ76" s="1974">
        <f t="shared" si="7"/>
        <v>151.9</v>
      </c>
      <c r="AK76" s="2552"/>
      <c r="AL76" s="1773">
        <f>ROUND(IF(AG76=0,0,AJ76/ABS(AG76)),3)</f>
        <v>0.36499999999999999</v>
      </c>
      <c r="AM76" s="2552"/>
    </row>
    <row r="77" spans="1:41" ht="15.6">
      <c r="A77" s="2420"/>
      <c r="B77" s="2420" t="s">
        <v>33</v>
      </c>
      <c r="C77" s="2420"/>
      <c r="D77" s="2420"/>
      <c r="E77" s="1979">
        <v>175.8</v>
      </c>
      <c r="F77" s="1979"/>
      <c r="G77" s="1979">
        <v>21</v>
      </c>
      <c r="H77" s="1979"/>
      <c r="I77" s="1979">
        <v>224.39999999999998</v>
      </c>
      <c r="J77" s="1979"/>
      <c r="K77" s="1979">
        <v>215.40000000000003</v>
      </c>
      <c r="L77" s="2560"/>
      <c r="M77" s="1979">
        <v>184.2</v>
      </c>
      <c r="N77" s="2560"/>
      <c r="O77" s="1979">
        <v>285.10000000000014</v>
      </c>
      <c r="P77" s="2560"/>
      <c r="Q77" s="1979">
        <v>165.00000000000006</v>
      </c>
      <c r="R77" s="2560"/>
      <c r="S77" s="1768">
        <v>179.59999999999985</v>
      </c>
      <c r="T77" s="2560"/>
      <c r="U77" s="1768">
        <v>458.69999999999987</v>
      </c>
      <c r="V77" s="2560"/>
      <c r="W77" s="1768">
        <f t="shared" si="8"/>
        <v>4.9000000000000909</v>
      </c>
      <c r="X77" s="2560"/>
      <c r="Y77" s="1768"/>
      <c r="Z77" s="2560"/>
      <c r="AA77" s="1768"/>
      <c r="AB77" s="1974"/>
      <c r="AC77" s="2018"/>
      <c r="AD77" s="1979">
        <v>1914.1</v>
      </c>
      <c r="AE77" s="3130"/>
      <c r="AF77" s="1956"/>
      <c r="AG77" s="1979">
        <v>1692.3</v>
      </c>
      <c r="AH77" s="1956"/>
      <c r="AI77" s="2554"/>
      <c r="AJ77" s="1974">
        <f t="shared" si="7"/>
        <v>221.8</v>
      </c>
      <c r="AK77" s="2561"/>
      <c r="AL77" s="2174">
        <f>ROUND(IF(AG77=0,0,AJ77/ABS(AG77)),3)</f>
        <v>0.13100000000000001</v>
      </c>
      <c r="AM77" s="2552" t="s">
        <v>14</v>
      </c>
      <c r="AN77" s="2534" t="s">
        <v>14</v>
      </c>
      <c r="AO77" s="2534" t="s">
        <v>14</v>
      </c>
    </row>
    <row r="78" spans="1:41" ht="15.6">
      <c r="A78" s="2420"/>
      <c r="B78" s="2507" t="s">
        <v>196</v>
      </c>
      <c r="C78" s="2420"/>
      <c r="D78" s="2420"/>
      <c r="E78" s="2149">
        <f>ROUND(SUM(E68:E77),1)</f>
        <v>325.89999999999998</v>
      </c>
      <c r="F78" s="2029"/>
      <c r="G78" s="2149">
        <f>ROUND(SUM(G68:G77),1)</f>
        <v>236.9</v>
      </c>
      <c r="H78" s="2029"/>
      <c r="I78" s="2149">
        <f>ROUND(SUM(I68:I77),1)</f>
        <v>679.6</v>
      </c>
      <c r="J78" s="1446"/>
      <c r="K78" s="2149">
        <f>ROUND(SUM(K68:K77),1)</f>
        <v>407.1</v>
      </c>
      <c r="L78" s="2029"/>
      <c r="M78" s="2149">
        <f>ROUND(SUM(M68:M77),1)</f>
        <v>340.1</v>
      </c>
      <c r="N78" s="1446"/>
      <c r="O78" s="2149">
        <f>ROUND(SUM(O68:O77),1)</f>
        <v>550</v>
      </c>
      <c r="P78" s="2029"/>
      <c r="Q78" s="2149">
        <f>ROUND(SUM(Q68:Q77),1)</f>
        <v>347.1</v>
      </c>
      <c r="R78" s="2029"/>
      <c r="S78" s="2149">
        <f>ROUND(SUM(S68:S77),1)</f>
        <v>337.7</v>
      </c>
      <c r="T78" s="2029"/>
      <c r="U78" s="2149">
        <f>ROUND(SUM(U68:U77),1)</f>
        <v>893.8</v>
      </c>
      <c r="V78" s="2029"/>
      <c r="W78" s="2149">
        <f>ROUND(SUM(W68:W77),1)</f>
        <v>156.4</v>
      </c>
      <c r="X78" s="2029"/>
      <c r="Y78" s="2149">
        <f>ROUND(SUM(Y68:Y77),1)</f>
        <v>0</v>
      </c>
      <c r="Z78" s="2029"/>
      <c r="AA78" s="2149">
        <f>ROUND(SUM(AA68:AA77),1)</f>
        <v>0</v>
      </c>
      <c r="AB78" s="2029"/>
      <c r="AC78" s="2508"/>
      <c r="AD78" s="2149">
        <f>ROUND(SUM(AD68:AD77),1)</f>
        <v>4274.6000000000004</v>
      </c>
      <c r="AE78" s="3142"/>
      <c r="AF78" s="1446"/>
      <c r="AG78" s="2149">
        <f>ROUND(SUM(AG68:AG77),1)</f>
        <v>3771.9</v>
      </c>
      <c r="AH78" s="1446"/>
      <c r="AI78" s="2554"/>
      <c r="AJ78" s="2149">
        <f>ROUND(SUM(AJ68:AJ77),1)</f>
        <v>502.7</v>
      </c>
      <c r="AK78" s="2583"/>
      <c r="AL78" s="2175">
        <f>ROUND(IF(AG78=0,0,AJ78/ABS(AG78)),3)</f>
        <v>0.13300000000000001</v>
      </c>
      <c r="AO78" s="2599"/>
    </row>
    <row r="79" spans="1:41" ht="15.6">
      <c r="A79" s="2420"/>
      <c r="B79" s="2420" t="s">
        <v>197</v>
      </c>
      <c r="C79" s="2420"/>
      <c r="D79" s="2420"/>
      <c r="E79" s="1979"/>
      <c r="F79" s="1979"/>
      <c r="G79" s="1979"/>
      <c r="H79" s="1979"/>
      <c r="I79" s="1979"/>
      <c r="J79" s="1979"/>
      <c r="K79" s="1979"/>
      <c r="L79" s="1974"/>
      <c r="M79" s="1974"/>
      <c r="N79" s="1974"/>
      <c r="O79" s="1974"/>
      <c r="P79" s="1974"/>
      <c r="Q79" s="1974"/>
      <c r="R79" s="1974"/>
      <c r="S79" s="1974"/>
      <c r="T79" s="1974"/>
      <c r="U79" s="1974"/>
      <c r="V79" s="1974"/>
      <c r="W79" s="1974"/>
      <c r="X79" s="1974"/>
      <c r="Y79" s="1974"/>
      <c r="Z79" s="1974"/>
      <c r="AA79" s="1974"/>
      <c r="AB79" s="1974"/>
      <c r="AC79" s="2018"/>
      <c r="AD79" s="1974"/>
      <c r="AE79" s="3130"/>
      <c r="AF79" s="1956"/>
      <c r="AG79" s="1974"/>
      <c r="AH79" s="1974"/>
      <c r="AI79" s="2554"/>
      <c r="AJ79" s="2555"/>
      <c r="AK79" s="2552"/>
      <c r="AL79" s="1777"/>
    </row>
    <row r="80" spans="1:41" ht="15.6">
      <c r="A80" s="2420"/>
      <c r="B80" s="2420" t="s">
        <v>198</v>
      </c>
      <c r="C80" s="2420"/>
      <c r="D80" s="2420"/>
      <c r="E80" s="1979">
        <v>0</v>
      </c>
      <c r="F80" s="1979"/>
      <c r="G80" s="1979">
        <v>0</v>
      </c>
      <c r="H80" s="1979"/>
      <c r="I80" s="1979">
        <v>0</v>
      </c>
      <c r="J80" s="1979"/>
      <c r="K80" s="1979">
        <v>0</v>
      </c>
      <c r="L80" s="2560"/>
      <c r="M80" s="1979">
        <v>0</v>
      </c>
      <c r="N80" s="2560"/>
      <c r="O80" s="1979">
        <v>0</v>
      </c>
      <c r="P80" s="2560"/>
      <c r="Q80" s="1979">
        <v>0</v>
      </c>
      <c r="R80" s="2560"/>
      <c r="S80" s="1768">
        <v>0</v>
      </c>
      <c r="T80" s="2560"/>
      <c r="U80" s="1768">
        <v>0</v>
      </c>
      <c r="V80" s="2560"/>
      <c r="W80" s="1768">
        <f t="shared" ref="W80:W83" si="9">$AD80-$E80-$G80-$I80-$K80-$M80-$O80-$Q80-U80-S80</f>
        <v>0</v>
      </c>
      <c r="X80" s="2560"/>
      <c r="Y80" s="1768"/>
      <c r="Z80" s="2560"/>
      <c r="AA80" s="1768"/>
      <c r="AB80" s="1974"/>
      <c r="AC80" s="2018"/>
      <c r="AD80" s="1979">
        <v>0</v>
      </c>
      <c r="AE80" s="3130"/>
      <c r="AF80" s="1956"/>
      <c r="AG80" s="1979">
        <v>0</v>
      </c>
      <c r="AH80" s="2584"/>
      <c r="AI80" s="2585"/>
      <c r="AJ80" s="1974">
        <f>ROUND(AD80-AG80,1)</f>
        <v>0</v>
      </c>
      <c r="AK80" s="2552"/>
      <c r="AL80" s="1629">
        <f>ROUND(IF(AG80=0,0,AJ80/ABS(AG80)),3)</f>
        <v>0</v>
      </c>
    </row>
    <row r="81" spans="1:41" ht="15.6">
      <c r="A81" s="2420"/>
      <c r="B81" s="2420" t="s">
        <v>199</v>
      </c>
      <c r="C81" s="2420"/>
      <c r="D81" s="2420"/>
      <c r="E81" s="1979">
        <v>0</v>
      </c>
      <c r="F81" s="1979"/>
      <c r="G81" s="1979">
        <v>0</v>
      </c>
      <c r="H81" s="1979"/>
      <c r="I81" s="1979">
        <v>0</v>
      </c>
      <c r="J81" s="1979"/>
      <c r="K81" s="1979">
        <v>0</v>
      </c>
      <c r="L81" s="2560"/>
      <c r="M81" s="1979">
        <v>0</v>
      </c>
      <c r="N81" s="2560"/>
      <c r="O81" s="1979">
        <v>0</v>
      </c>
      <c r="P81" s="2560"/>
      <c r="Q81" s="1979">
        <v>0</v>
      </c>
      <c r="R81" s="2560"/>
      <c r="S81" s="1768">
        <v>0</v>
      </c>
      <c r="T81" s="2560"/>
      <c r="U81" s="1768">
        <v>0</v>
      </c>
      <c r="V81" s="2560"/>
      <c r="W81" s="1768">
        <f t="shared" si="9"/>
        <v>0</v>
      </c>
      <c r="X81" s="2560"/>
      <c r="Y81" s="1768"/>
      <c r="Z81" s="2560"/>
      <c r="AA81" s="1768"/>
      <c r="AB81" s="1974"/>
      <c r="AC81" s="2018"/>
      <c r="AD81" s="3778">
        <v>0</v>
      </c>
      <c r="AE81" s="3130"/>
      <c r="AF81" s="1956"/>
      <c r="AG81" s="3778">
        <v>0</v>
      </c>
      <c r="AH81" s="2584"/>
      <c r="AI81" s="2585"/>
      <c r="AJ81" s="1974">
        <f>ROUND(AD81-AG81,1)</f>
        <v>0</v>
      </c>
      <c r="AK81" s="2552"/>
      <c r="AL81" s="1629">
        <f>ROUND(IF(AG81=0,0,AJ81/ABS(AG81)),3)</f>
        <v>0</v>
      </c>
    </row>
    <row r="82" spans="1:41" ht="15.6">
      <c r="A82" s="2420"/>
      <c r="B82" s="2420" t="s">
        <v>200</v>
      </c>
      <c r="C82" s="2420"/>
      <c r="D82" s="2420"/>
      <c r="E82" s="1979">
        <v>0</v>
      </c>
      <c r="F82" s="1979"/>
      <c r="G82" s="1979">
        <v>0</v>
      </c>
      <c r="H82" s="1979"/>
      <c r="I82" s="1979">
        <v>0</v>
      </c>
      <c r="J82" s="1979"/>
      <c r="K82" s="1979">
        <v>0</v>
      </c>
      <c r="L82" s="2560"/>
      <c r="M82" s="1979">
        <v>0</v>
      </c>
      <c r="N82" s="2560"/>
      <c r="O82" s="1979">
        <v>0</v>
      </c>
      <c r="P82" s="2560"/>
      <c r="Q82" s="1979">
        <v>0</v>
      </c>
      <c r="R82" s="2560"/>
      <c r="S82" s="1768">
        <v>0</v>
      </c>
      <c r="T82" s="2560"/>
      <c r="U82" s="1768">
        <v>0</v>
      </c>
      <c r="V82" s="2560"/>
      <c r="W82" s="1768">
        <f t="shared" si="9"/>
        <v>0</v>
      </c>
      <c r="X82" s="2560"/>
      <c r="Y82" s="1768"/>
      <c r="Z82" s="2560"/>
      <c r="AA82" s="1768"/>
      <c r="AB82" s="2586"/>
      <c r="AC82" s="2587"/>
      <c r="AD82" s="1979">
        <v>0</v>
      </c>
      <c r="AE82" s="3130"/>
      <c r="AF82" s="1956"/>
      <c r="AG82" s="1979">
        <v>0</v>
      </c>
      <c r="AH82" s="2584"/>
      <c r="AI82" s="2585"/>
      <c r="AJ82" s="1974">
        <f>ROUND(AD82-AG82,1)</f>
        <v>0</v>
      </c>
      <c r="AK82" s="2552"/>
      <c r="AL82" s="1629">
        <f>ROUND(IF(AG82=0,0,AJ82/ABS(AG82)),3)</f>
        <v>0</v>
      </c>
    </row>
    <row r="83" spans="1:41" ht="15.6">
      <c r="A83" s="2420"/>
      <c r="B83" s="3595" t="s">
        <v>171</v>
      </c>
      <c r="C83" s="2420"/>
      <c r="D83" s="2420"/>
      <c r="E83" s="1979">
        <v>351.1</v>
      </c>
      <c r="F83" s="1979"/>
      <c r="G83" s="1979">
        <v>407.1</v>
      </c>
      <c r="H83" s="1979"/>
      <c r="I83" s="1979">
        <v>463.40000000000009</v>
      </c>
      <c r="J83" s="1979"/>
      <c r="K83" s="1979">
        <v>418.5999999999998</v>
      </c>
      <c r="L83" s="2560"/>
      <c r="M83" s="1979">
        <v>558.4000000000002</v>
      </c>
      <c r="N83" s="2560"/>
      <c r="O83" s="1979">
        <v>547.0999999999998</v>
      </c>
      <c r="P83" s="2560"/>
      <c r="Q83" s="1979">
        <v>414.70000000000027</v>
      </c>
      <c r="R83" s="2560"/>
      <c r="S83" s="1768">
        <v>603.19999999999993</v>
      </c>
      <c r="T83" s="2560"/>
      <c r="U83" s="1768">
        <v>500.9</v>
      </c>
      <c r="V83" s="2560"/>
      <c r="W83" s="1768">
        <f t="shared" si="9"/>
        <v>473.99999999999943</v>
      </c>
      <c r="X83" s="2560"/>
      <c r="Y83" s="1768"/>
      <c r="Z83" s="2560"/>
      <c r="AA83" s="1768"/>
      <c r="AB83" s="1974"/>
      <c r="AC83" s="2018"/>
      <c r="AD83" s="3144">
        <v>4738.5</v>
      </c>
      <c r="AE83" s="3130"/>
      <c r="AF83" s="1956"/>
      <c r="AG83" s="3144">
        <v>4841.5</v>
      </c>
      <c r="AH83" s="2588"/>
      <c r="AI83" s="2564"/>
      <c r="AJ83" s="2589">
        <f>ROUND(AD83-AG83,1)</f>
        <v>-103</v>
      </c>
      <c r="AK83" s="2552"/>
      <c r="AL83" s="2562">
        <f>ROUND(IF(AG83=0,0,AJ83/ABS(AG83)),3)</f>
        <v>-2.1000000000000001E-2</v>
      </c>
      <c r="AM83" s="2534" t="s">
        <v>14</v>
      </c>
      <c r="AN83" s="3129" t="s">
        <v>14</v>
      </c>
    </row>
    <row r="84" spans="1:41" ht="15.6">
      <c r="A84" s="2420"/>
      <c r="B84" s="2420"/>
      <c r="C84" s="2420"/>
      <c r="D84" s="2420"/>
      <c r="E84" s="2448"/>
      <c r="F84" s="1979"/>
      <c r="G84" s="2448"/>
      <c r="H84" s="1979"/>
      <c r="I84" s="2448"/>
      <c r="J84" s="1979"/>
      <c r="K84" s="2448"/>
      <c r="L84" s="1974"/>
      <c r="M84" s="2030"/>
      <c r="N84" s="1974"/>
      <c r="O84" s="2030"/>
      <c r="P84" s="1974"/>
      <c r="Q84" s="2030"/>
      <c r="R84" s="1974"/>
      <c r="S84" s="2030"/>
      <c r="T84" s="1974"/>
      <c r="U84" s="2030"/>
      <c r="V84" s="1974"/>
      <c r="W84" s="2030"/>
      <c r="X84" s="1974"/>
      <c r="Y84" s="2030"/>
      <c r="Z84" s="1974"/>
      <c r="AA84" s="2030"/>
      <c r="AB84" s="1974"/>
      <c r="AC84" s="2018"/>
      <c r="AD84" s="2555"/>
      <c r="AE84" s="3130"/>
      <c r="AF84" s="1956"/>
      <c r="AG84" s="2555"/>
      <c r="AH84" s="2555"/>
      <c r="AI84" s="2590"/>
      <c r="AJ84" s="2555"/>
      <c r="AK84" s="2552"/>
      <c r="AL84" s="1777"/>
    </row>
    <row r="85" spans="1:41" ht="15.6">
      <c r="A85" s="2420"/>
      <c r="B85" s="2507" t="s">
        <v>201</v>
      </c>
      <c r="C85" s="2420"/>
      <c r="D85" s="2420"/>
      <c r="E85" s="2029">
        <f>ROUND(SUM(E78:E83),1)</f>
        <v>677</v>
      </c>
      <c r="F85" s="2029"/>
      <c r="G85" s="2029">
        <f>ROUND(SUM(G78:G83),1)</f>
        <v>644</v>
      </c>
      <c r="H85" s="2029"/>
      <c r="I85" s="2029">
        <f>ROUND(SUM(I78:I83),1)</f>
        <v>1143</v>
      </c>
      <c r="J85" s="2029"/>
      <c r="K85" s="2029">
        <f>ROUND(SUM(K78:K83),1)</f>
        <v>825.7</v>
      </c>
      <c r="L85" s="2029"/>
      <c r="M85" s="2029">
        <f>ROUND(SUM(M78:M83),1)</f>
        <v>898.5</v>
      </c>
      <c r="N85" s="2029"/>
      <c r="O85" s="2029">
        <f>ROUND(SUM(O78:O83),1)</f>
        <v>1097.0999999999999</v>
      </c>
      <c r="P85" s="2029"/>
      <c r="Q85" s="2029">
        <f>ROUND(SUM(Q78:Q83),1)</f>
        <v>761.8</v>
      </c>
      <c r="R85" s="2029"/>
      <c r="S85" s="2029">
        <f>ROUND(SUM(S78:S83),1)</f>
        <v>940.9</v>
      </c>
      <c r="T85" s="2029"/>
      <c r="U85" s="2029">
        <f>ROUND(SUM(U78:U83),1)</f>
        <v>1394.7</v>
      </c>
      <c r="V85" s="2029"/>
      <c r="W85" s="2029">
        <f>ROUND(SUM(W78:W83),1)</f>
        <v>630.4</v>
      </c>
      <c r="X85" s="2029"/>
      <c r="Y85" s="2029">
        <f>ROUND(SUM(Y78:Y83),1)</f>
        <v>0</v>
      </c>
      <c r="Z85" s="2029"/>
      <c r="AA85" s="2029">
        <f>ROUND(SUM(AA78:AA83),1)</f>
        <v>0</v>
      </c>
      <c r="AB85" s="2029"/>
      <c r="AC85" s="2508"/>
      <c r="AD85" s="2029">
        <f>ROUND(SUM(AD78:AD83),1)</f>
        <v>9013.1</v>
      </c>
      <c r="AE85" s="3142"/>
      <c r="AF85" s="1446"/>
      <c r="AG85" s="2029">
        <f>ROUND(SUM(AG78:AG83),1)</f>
        <v>8613.4</v>
      </c>
      <c r="AH85" s="1446"/>
      <c r="AI85" s="2554"/>
      <c r="AJ85" s="2033">
        <f>ROUND(AD85-AG85,1)</f>
        <v>399.7</v>
      </c>
      <c r="AK85" s="2583"/>
      <c r="AL85" s="2582">
        <f>ROUND(IF(AG85=0,0,AJ85/ABS(AG85)),3)</f>
        <v>4.5999999999999999E-2</v>
      </c>
      <c r="AM85" s="2575"/>
      <c r="AN85" s="2575"/>
      <c r="AO85" s="2575"/>
    </row>
    <row r="86" spans="1:41" ht="15.6">
      <c r="A86" s="2420"/>
      <c r="B86" s="2420"/>
      <c r="C86" s="2420"/>
      <c r="D86" s="2420"/>
      <c r="E86" s="2448"/>
      <c r="F86" s="1979"/>
      <c r="G86" s="2448"/>
      <c r="H86" s="1979"/>
      <c r="I86" s="2448"/>
      <c r="J86" s="1979"/>
      <c r="K86" s="2448"/>
      <c r="L86" s="1974"/>
      <c r="M86" s="2030"/>
      <c r="N86" s="1974"/>
      <c r="O86" s="2030"/>
      <c r="P86" s="1974"/>
      <c r="Q86" s="2030"/>
      <c r="R86" s="1974"/>
      <c r="S86" s="2030"/>
      <c r="T86" s="1974"/>
      <c r="U86" s="2030"/>
      <c r="V86" s="1974"/>
      <c r="W86" s="2030"/>
      <c r="X86" s="1974"/>
      <c r="Y86" s="2030"/>
      <c r="Z86" s="1974"/>
      <c r="AA86" s="2030"/>
      <c r="AB86" s="1974"/>
      <c r="AC86" s="2018"/>
      <c r="AD86" s="2030"/>
      <c r="AE86" s="3130"/>
      <c r="AF86" s="1956"/>
      <c r="AG86" s="2030"/>
      <c r="AH86" s="1956"/>
      <c r="AI86" s="2554"/>
      <c r="AJ86" s="2555"/>
      <c r="AK86" s="2552"/>
      <c r="AL86" s="1777"/>
    </row>
    <row r="87" spans="1:41" ht="15.6">
      <c r="A87" s="2420"/>
      <c r="B87" s="2507" t="s">
        <v>202</v>
      </c>
      <c r="C87" s="2420"/>
      <c r="D87" s="2420"/>
      <c r="E87" s="1979"/>
      <c r="F87" s="1979"/>
      <c r="G87" s="1979"/>
      <c r="H87" s="1979"/>
      <c r="I87" s="1979"/>
      <c r="J87" s="1979"/>
      <c r="K87" s="1979"/>
      <c r="L87" s="1974"/>
      <c r="M87" s="1974"/>
      <c r="N87" s="1974"/>
      <c r="O87" s="1974"/>
      <c r="P87" s="1974"/>
      <c r="Q87" s="1974"/>
      <c r="R87" s="1974"/>
      <c r="S87" s="1974"/>
      <c r="T87" s="1974"/>
      <c r="U87" s="1974"/>
      <c r="V87" s="1974"/>
      <c r="W87" s="1974"/>
      <c r="X87" s="1974"/>
      <c r="Y87" s="1974"/>
      <c r="Z87" s="1974"/>
      <c r="AA87" s="1974"/>
      <c r="AB87" s="1974"/>
      <c r="AC87" s="2018"/>
      <c r="AD87" s="2555"/>
      <c r="AE87" s="3130"/>
      <c r="AF87" s="1956"/>
      <c r="AG87" s="2555"/>
      <c r="AH87" s="2555"/>
      <c r="AI87" s="2590"/>
      <c r="AJ87" s="2555"/>
      <c r="AK87" s="2552"/>
      <c r="AL87" s="1777"/>
    </row>
    <row r="88" spans="1:41" ht="15.6">
      <c r="A88" s="2420"/>
      <c r="B88" s="2507" t="s">
        <v>203</v>
      </c>
      <c r="C88" s="2420"/>
      <c r="D88" s="2420"/>
      <c r="E88" s="2029">
        <f>ROUND(SUM(E64-E85),1)</f>
        <v>-410.9</v>
      </c>
      <c r="F88" s="2029"/>
      <c r="G88" s="2029">
        <f>ROUND(SUM(G64-G85),1)</f>
        <v>-460.9</v>
      </c>
      <c r="H88" s="2029"/>
      <c r="I88" s="2029">
        <f>ROUND(SUM(I64-I85),1)</f>
        <v>-894.5</v>
      </c>
      <c r="J88" s="2029"/>
      <c r="K88" s="2029">
        <f>ROUND(SUM(K64-K85),1)</f>
        <v>-388.3</v>
      </c>
      <c r="L88" s="2029"/>
      <c r="M88" s="2029">
        <f>ROUND(SUM(M64-M85),1)</f>
        <v>-666.8</v>
      </c>
      <c r="N88" s="2029"/>
      <c r="O88" s="2029">
        <f>ROUND(SUM(O64-O85),1)</f>
        <v>-514.1</v>
      </c>
      <c r="P88" s="2029"/>
      <c r="Q88" s="2029">
        <f>ROUND(SUM(Q64-Q85),1)</f>
        <v>415</v>
      </c>
      <c r="R88" s="2029"/>
      <c r="S88" s="2029">
        <f>ROUND(SUM(S64-S85),1)</f>
        <v>-745.8</v>
      </c>
      <c r="T88" s="2029"/>
      <c r="U88" s="2029">
        <f>ROUND(SUM(U64-U85),1)</f>
        <v>-593.9</v>
      </c>
      <c r="V88" s="2029"/>
      <c r="W88" s="2029">
        <f>ROUND(SUM(W64-W85),1)</f>
        <v>-342.1</v>
      </c>
      <c r="X88" s="2029"/>
      <c r="Y88" s="2029">
        <f>ROUND(SUM(Y64-Y85),1)</f>
        <v>0</v>
      </c>
      <c r="Z88" s="2029"/>
      <c r="AA88" s="2029">
        <f>ROUND(SUM(AA64-AA85),1)</f>
        <v>0</v>
      </c>
      <c r="AB88" s="2029"/>
      <c r="AC88" s="2508"/>
      <c r="AD88" s="2029">
        <f>ROUND(SUM(AD64-AD85),1)</f>
        <v>-4602.3</v>
      </c>
      <c r="AE88" s="3142"/>
      <c r="AF88" s="1446"/>
      <c r="AG88" s="2029">
        <f>ROUND(SUM(AG64-AG85),1)</f>
        <v>-2786.8</v>
      </c>
      <c r="AH88" s="1446"/>
      <c r="AI88" s="2554"/>
      <c r="AJ88" s="2033">
        <f>ROUND(AD88-AG88,1)</f>
        <v>-1815.5</v>
      </c>
      <c r="AK88" s="2583"/>
      <c r="AL88" s="3596">
        <f>ROUND(IF(AG88=0,0,AJ88/ABS(AG88)),3)</f>
        <v>-0.65100000000000002</v>
      </c>
      <c r="AM88" s="2575"/>
      <c r="AN88" s="3597"/>
    </row>
    <row r="89" spans="1:41" ht="15.6">
      <c r="A89" s="2420"/>
      <c r="B89" s="2420"/>
      <c r="C89" s="2420"/>
      <c r="D89" s="2420"/>
      <c r="E89" s="2448"/>
      <c r="F89" s="1979"/>
      <c r="G89" s="2448"/>
      <c r="H89" s="1979"/>
      <c r="I89" s="2448"/>
      <c r="J89" s="1979"/>
      <c r="K89" s="2448"/>
      <c r="L89" s="1974"/>
      <c r="M89" s="2030"/>
      <c r="N89" s="1974"/>
      <c r="O89" s="2030"/>
      <c r="P89" s="1974"/>
      <c r="Q89" s="2030"/>
      <c r="R89" s="1974"/>
      <c r="S89" s="2030"/>
      <c r="T89" s="1974"/>
      <c r="U89" s="2030"/>
      <c r="V89" s="1974"/>
      <c r="W89" s="2030"/>
      <c r="X89" s="1974"/>
      <c r="Y89" s="2030"/>
      <c r="Z89" s="1974"/>
      <c r="AA89" s="2030"/>
      <c r="AB89" s="1974"/>
      <c r="AC89" s="2018"/>
      <c r="AD89" s="2030"/>
      <c r="AE89" s="3130"/>
      <c r="AF89" s="1956"/>
      <c r="AG89" s="2030"/>
      <c r="AH89" s="1956"/>
      <c r="AI89" s="2554"/>
      <c r="AJ89" s="2555"/>
      <c r="AK89" s="2552"/>
      <c r="AL89" s="1777"/>
    </row>
    <row r="90" spans="1:41" ht="15.6">
      <c r="A90" s="2420"/>
      <c r="B90" s="2507" t="s">
        <v>204</v>
      </c>
      <c r="C90" s="2420"/>
      <c r="D90" s="2420"/>
      <c r="E90" s="1979"/>
      <c r="F90" s="1979"/>
      <c r="G90" s="1979"/>
      <c r="H90" s="1979"/>
      <c r="I90" s="1979"/>
      <c r="J90" s="1979"/>
      <c r="K90" s="1979"/>
      <c r="L90" s="1974"/>
      <c r="M90" s="1974"/>
      <c r="N90" s="1974"/>
      <c r="O90" s="1974"/>
      <c r="P90" s="1974"/>
      <c r="Q90" s="1974"/>
      <c r="R90" s="1974"/>
      <c r="S90" s="1974"/>
      <c r="T90" s="1974"/>
      <c r="U90" s="1974"/>
      <c r="V90" s="1974"/>
      <c r="W90" s="1974"/>
      <c r="X90" s="1974"/>
      <c r="Y90" s="1974"/>
      <c r="Z90" s="1974"/>
      <c r="AA90" s="1974"/>
      <c r="AB90" s="1974"/>
      <c r="AC90" s="2018"/>
      <c r="AD90" s="2584"/>
      <c r="AE90" s="3130"/>
      <c r="AF90" s="1956"/>
      <c r="AG90" s="2584"/>
      <c r="AH90" s="2584"/>
      <c r="AI90" s="2585"/>
      <c r="AJ90" s="2555"/>
      <c r="AK90" s="2552"/>
      <c r="AL90" s="1777"/>
    </row>
    <row r="91" spans="1:41" ht="15.6">
      <c r="A91" s="2420"/>
      <c r="B91" s="2459" t="s">
        <v>1353</v>
      </c>
      <c r="C91" s="2420"/>
      <c r="D91" s="2420"/>
      <c r="E91" s="1979">
        <v>0</v>
      </c>
      <c r="F91" s="1979"/>
      <c r="G91" s="1979">
        <v>0</v>
      </c>
      <c r="H91" s="1979"/>
      <c r="I91" s="1979">
        <v>0</v>
      </c>
      <c r="J91" s="1979"/>
      <c r="K91" s="1979">
        <v>0</v>
      </c>
      <c r="L91" s="2560"/>
      <c r="M91" s="1979">
        <v>0</v>
      </c>
      <c r="N91" s="2560"/>
      <c r="O91" s="1979">
        <v>0</v>
      </c>
      <c r="P91" s="2560"/>
      <c r="Q91" s="1979">
        <v>0</v>
      </c>
      <c r="R91" s="2560"/>
      <c r="S91" s="1768">
        <v>0</v>
      </c>
      <c r="T91" s="2560"/>
      <c r="U91" s="1768">
        <v>0</v>
      </c>
      <c r="V91" s="2560"/>
      <c r="W91" s="1768">
        <f t="shared" ref="W91:W93" si="10">$AD91-$E91-$G91-$I91-$K91-$M91-$O91-$Q91-U91-S91</f>
        <v>0</v>
      </c>
      <c r="X91" s="2560"/>
      <c r="Y91" s="1768"/>
      <c r="Z91" s="2560"/>
      <c r="AA91" s="1768"/>
      <c r="AB91" s="1974"/>
      <c r="AC91" s="2018"/>
      <c r="AD91" s="1979">
        <v>0</v>
      </c>
      <c r="AE91" s="3130"/>
      <c r="AF91" s="1956"/>
      <c r="AG91" s="1979">
        <v>0</v>
      </c>
      <c r="AH91" s="2584"/>
      <c r="AI91" s="2585"/>
      <c r="AJ91" s="1974">
        <f>ROUND(AD91-AG91,1)</f>
        <v>0</v>
      </c>
      <c r="AK91" s="2561"/>
      <c r="AL91" s="1703">
        <f>ROUND(IF(AG91=0,0,AJ91/ABS(AG91)),3)</f>
        <v>0</v>
      </c>
    </row>
    <row r="92" spans="1:41" ht="15.6">
      <c r="A92" s="2420"/>
      <c r="B92" s="3595" t="s">
        <v>172</v>
      </c>
      <c r="C92" s="2420"/>
      <c r="D92" s="2420"/>
      <c r="E92" s="1979">
        <v>488.9</v>
      </c>
      <c r="F92" s="1979"/>
      <c r="G92" s="1979">
        <v>344.30000000000007</v>
      </c>
      <c r="H92" s="1979"/>
      <c r="I92" s="1979">
        <v>830.89999999999975</v>
      </c>
      <c r="J92" s="1979"/>
      <c r="K92" s="1979">
        <v>298.89999999999998</v>
      </c>
      <c r="L92" s="2560"/>
      <c r="M92" s="1979">
        <v>586.59999999999991</v>
      </c>
      <c r="N92" s="2560"/>
      <c r="O92" s="1979">
        <v>434.1</v>
      </c>
      <c r="P92" s="2560"/>
      <c r="Q92" s="1979">
        <v>320.39999999999998</v>
      </c>
      <c r="R92" s="2560"/>
      <c r="S92" s="1768">
        <v>608.30000000000018</v>
      </c>
      <c r="T92" s="2560"/>
      <c r="U92" s="1768">
        <v>514.40000000000009</v>
      </c>
      <c r="V92" s="2560"/>
      <c r="W92" s="1768">
        <f t="shared" si="10"/>
        <v>352.40000000000009</v>
      </c>
      <c r="X92" s="2560"/>
      <c r="Y92" s="1768"/>
      <c r="Z92" s="2560"/>
      <c r="AA92" s="1768"/>
      <c r="AB92" s="1974"/>
      <c r="AC92" s="2018"/>
      <c r="AD92" s="1979">
        <v>4779.2</v>
      </c>
      <c r="AE92" s="3130"/>
      <c r="AF92" s="1956"/>
      <c r="AG92" s="1979">
        <v>2698.8</v>
      </c>
      <c r="AH92" s="1973"/>
      <c r="AI92" s="2564"/>
      <c r="AJ92" s="1974">
        <f>ROUND(AD92-AG92,1)</f>
        <v>2080.4</v>
      </c>
      <c r="AK92" s="2552"/>
      <c r="AL92" s="1629">
        <f>ROUND(IF(AG92=0,0,AJ92/ABS(AG92)),3)</f>
        <v>0.77100000000000002</v>
      </c>
      <c r="AM92" s="2552"/>
    </row>
    <row r="93" spans="1:41" ht="15.6">
      <c r="A93" s="2420"/>
      <c r="B93" s="3595" t="s">
        <v>205</v>
      </c>
      <c r="C93" s="2420"/>
      <c r="D93" s="2420"/>
      <c r="E93" s="1979">
        <v>-8.4</v>
      </c>
      <c r="F93" s="1979"/>
      <c r="G93" s="1979">
        <v>-8.1</v>
      </c>
      <c r="H93" s="1979"/>
      <c r="I93" s="1979">
        <v>-23.5</v>
      </c>
      <c r="J93" s="1979"/>
      <c r="K93" s="1979">
        <v>-8.7000000000000028</v>
      </c>
      <c r="L93" s="2560"/>
      <c r="M93" s="1979">
        <v>-8.8999999999999986</v>
      </c>
      <c r="N93" s="2560"/>
      <c r="O93" s="1979">
        <v>-211.4</v>
      </c>
      <c r="P93" s="2560"/>
      <c r="Q93" s="1979">
        <v>-10.5</v>
      </c>
      <c r="R93" s="2560"/>
      <c r="S93" s="1768">
        <v>-9.6999999999999886</v>
      </c>
      <c r="T93" s="2560"/>
      <c r="U93" s="1768">
        <v>-44.400000000000063</v>
      </c>
      <c r="V93" s="2560"/>
      <c r="W93" s="1768">
        <f t="shared" si="10"/>
        <v>-8.7999999999999545</v>
      </c>
      <c r="X93" s="2560"/>
      <c r="Y93" s="1768"/>
      <c r="Z93" s="2560"/>
      <c r="AA93" s="1768"/>
      <c r="AB93" s="1974"/>
      <c r="AC93" s="2018"/>
      <c r="AD93" s="3144">
        <v>-342.4</v>
      </c>
      <c r="AE93" s="3130"/>
      <c r="AF93" s="1956"/>
      <c r="AG93" s="3144">
        <v>-364.5</v>
      </c>
      <c r="AH93" s="1956"/>
      <c r="AI93" s="2554"/>
      <c r="AJ93" s="2589">
        <f>ROUND(-AD93+AG93,1)</f>
        <v>-22.1</v>
      </c>
      <c r="AK93" s="2552"/>
      <c r="AL93" s="2562">
        <f>ROUND(IF(AG93=0,0,AJ93/ABS(AG93)),3)</f>
        <v>-6.0999999999999999E-2</v>
      </c>
      <c r="AM93" s="2552"/>
    </row>
    <row r="94" spans="1:41" ht="15.6">
      <c r="A94" s="2420"/>
      <c r="B94" s="2420"/>
      <c r="C94" s="2420"/>
      <c r="D94" s="2420"/>
      <c r="E94" s="2030"/>
      <c r="F94" s="1974"/>
      <c r="G94" s="2030"/>
      <c r="H94" s="1974"/>
      <c r="I94" s="2030"/>
      <c r="J94" s="1974"/>
      <c r="K94" s="2030"/>
      <c r="L94" s="1974"/>
      <c r="M94" s="2030"/>
      <c r="N94" s="1974"/>
      <c r="O94" s="2030"/>
      <c r="P94" s="1974"/>
      <c r="Q94" s="2030"/>
      <c r="R94" s="1974"/>
      <c r="S94" s="2030"/>
      <c r="T94" s="1974"/>
      <c r="U94" s="2030"/>
      <c r="V94" s="1974"/>
      <c r="W94" s="2030"/>
      <c r="X94" s="1974"/>
      <c r="Y94" s="2030"/>
      <c r="Z94" s="1974"/>
      <c r="AA94" s="2030"/>
      <c r="AB94" s="1974"/>
      <c r="AC94" s="2018"/>
      <c r="AD94" s="2555"/>
      <c r="AE94" s="3130"/>
      <c r="AF94" s="1956"/>
      <c r="AG94" s="2555"/>
      <c r="AH94" s="2555"/>
      <c r="AI94" s="2590"/>
      <c r="AJ94" s="2555"/>
      <c r="AK94" s="2552"/>
      <c r="AL94" s="1777"/>
    </row>
    <row r="95" spans="1:41" ht="15.6">
      <c r="A95" s="2420"/>
      <c r="B95" s="2507" t="s">
        <v>1096</v>
      </c>
      <c r="C95" s="2420"/>
      <c r="D95" s="2420"/>
      <c r="E95" s="2029">
        <f>ROUND(SUM(E91:E93),1)</f>
        <v>480.5</v>
      </c>
      <c r="F95" s="2029"/>
      <c r="G95" s="2029">
        <f>ROUND(SUM(G91:G93),1)</f>
        <v>336.2</v>
      </c>
      <c r="H95" s="2029"/>
      <c r="I95" s="2029">
        <f>ROUND(SUM(I91:I93),1)</f>
        <v>807.4</v>
      </c>
      <c r="J95" s="2029"/>
      <c r="K95" s="2029">
        <f>ROUND(SUM(K91:K93),1)</f>
        <v>290.2</v>
      </c>
      <c r="L95" s="2029"/>
      <c r="M95" s="2029">
        <f>ROUND(SUM(M91:M93),1)</f>
        <v>577.70000000000005</v>
      </c>
      <c r="N95" s="2029"/>
      <c r="O95" s="2029">
        <f>ROUND(SUM(O91:O93),1)</f>
        <v>222.7</v>
      </c>
      <c r="P95" s="2029"/>
      <c r="Q95" s="2029">
        <f>ROUND(SUM(Q91:Q93),1)</f>
        <v>309.89999999999998</v>
      </c>
      <c r="R95" s="2029"/>
      <c r="S95" s="2029">
        <f>ROUND(SUM(S91:S93),1)</f>
        <v>598.6</v>
      </c>
      <c r="T95" s="2029"/>
      <c r="U95" s="2029">
        <f>ROUND(SUM(U91:U93),1)</f>
        <v>470</v>
      </c>
      <c r="V95" s="2029"/>
      <c r="W95" s="2029">
        <f>ROUND(SUM(W91:W93),1)</f>
        <v>343.6</v>
      </c>
      <c r="X95" s="2029"/>
      <c r="Y95" s="2029">
        <f>ROUND(SUM(Y91:Y93),1)</f>
        <v>0</v>
      </c>
      <c r="Z95" s="2029"/>
      <c r="AA95" s="2029">
        <f>ROUND(SUM(AA91:AA93),1)</f>
        <v>0</v>
      </c>
      <c r="AB95" s="2029"/>
      <c r="AC95" s="2508"/>
      <c r="AD95" s="1446">
        <f>ROUND(SUM(AD91:AD93),1)</f>
        <v>4436.8</v>
      </c>
      <c r="AE95" s="3142"/>
      <c r="AF95" s="1446"/>
      <c r="AG95" s="1446">
        <f>ROUND(SUM(AG91:AG93),1)</f>
        <v>2334.3000000000002</v>
      </c>
      <c r="AH95" s="1446"/>
      <c r="AI95" s="2554"/>
      <c r="AJ95" s="2033">
        <f>ROUND(AD95-AG95,1)</f>
        <v>2102.5</v>
      </c>
      <c r="AK95" s="2583"/>
      <c r="AL95" s="3596">
        <f>ROUND(IF(AG95=0,0,AJ95/ABS(AG95)),3)</f>
        <v>0.90100000000000002</v>
      </c>
      <c r="AM95" s="2575"/>
      <c r="AN95" s="2575"/>
      <c r="AO95" s="3597"/>
    </row>
    <row r="96" spans="1:41" ht="15.6">
      <c r="A96" s="2420"/>
      <c r="B96" s="2420"/>
      <c r="C96" s="2420"/>
      <c r="D96" s="2420"/>
      <c r="E96" s="2030"/>
      <c r="F96" s="1974"/>
      <c r="G96" s="2030"/>
      <c r="H96" s="1974"/>
      <c r="I96" s="2030"/>
      <c r="J96" s="1974"/>
      <c r="K96" s="2030"/>
      <c r="L96" s="1974"/>
      <c r="M96" s="2030"/>
      <c r="N96" s="1974"/>
      <c r="O96" s="2030"/>
      <c r="P96" s="1974"/>
      <c r="Q96" s="2030"/>
      <c r="R96" s="1974"/>
      <c r="S96" s="2030"/>
      <c r="T96" s="1974"/>
      <c r="U96" s="2030"/>
      <c r="V96" s="1974"/>
      <c r="W96" s="2030"/>
      <c r="X96" s="1974"/>
      <c r="Y96" s="2030"/>
      <c r="Z96" s="1974"/>
      <c r="AA96" s="2030"/>
      <c r="AB96" s="1974"/>
      <c r="AC96" s="2018"/>
      <c r="AD96" s="2030"/>
      <c r="AE96" s="3130"/>
      <c r="AF96" s="1956"/>
      <c r="AG96" s="2030"/>
      <c r="AH96" s="1956"/>
      <c r="AI96" s="2554"/>
      <c r="AJ96" s="2555"/>
      <c r="AK96" s="2552"/>
      <c r="AL96" s="1777"/>
      <c r="AO96" s="2599"/>
    </row>
    <row r="97" spans="1:41" ht="15.6">
      <c r="A97" s="2420"/>
      <c r="B97" s="2420"/>
      <c r="C97" s="2420"/>
      <c r="D97" s="2420"/>
      <c r="E97" s="1974" t="s">
        <v>14</v>
      </c>
      <c r="F97" s="1974" t="s">
        <v>14</v>
      </c>
      <c r="G97" s="1974" t="s">
        <v>14</v>
      </c>
      <c r="H97" s="1974"/>
      <c r="I97" s="1974" t="s">
        <v>14</v>
      </c>
      <c r="J97" s="1974"/>
      <c r="K97" s="1974" t="s">
        <v>14</v>
      </c>
      <c r="L97" s="1974"/>
      <c r="M97" s="1974" t="s">
        <v>14</v>
      </c>
      <c r="N97" s="1974"/>
      <c r="O97" s="1974" t="s">
        <v>14</v>
      </c>
      <c r="P97" s="1974"/>
      <c r="Q97" s="1974" t="s">
        <v>14</v>
      </c>
      <c r="R97" s="1974"/>
      <c r="S97" s="1974" t="s">
        <v>14</v>
      </c>
      <c r="T97" s="1974"/>
      <c r="U97" s="1974" t="s">
        <v>14</v>
      </c>
      <c r="V97" s="1974"/>
      <c r="W97" s="1974" t="s">
        <v>14</v>
      </c>
      <c r="X97" s="1974"/>
      <c r="Y97" s="1974" t="s">
        <v>14</v>
      </c>
      <c r="Z97" s="1974"/>
      <c r="AA97" s="1974" t="s">
        <v>14</v>
      </c>
      <c r="AB97" s="1974"/>
      <c r="AC97" s="2018"/>
      <c r="AD97" s="1974"/>
      <c r="AE97" s="3130"/>
      <c r="AF97" s="1956"/>
      <c r="AG97" s="1974"/>
      <c r="AH97" s="1974"/>
      <c r="AI97" s="2554"/>
      <c r="AJ97" s="2555" t="s">
        <v>14</v>
      </c>
      <c r="AK97" s="2552"/>
      <c r="AL97" s="1777"/>
    </row>
    <row r="98" spans="1:41" ht="15.6">
      <c r="A98" s="2420"/>
      <c r="B98" s="2507" t="s">
        <v>207</v>
      </c>
      <c r="C98" s="2420"/>
      <c r="D98" s="2420"/>
      <c r="E98" s="1974"/>
      <c r="F98" s="1974"/>
      <c r="G98" s="1974" t="s">
        <v>14</v>
      </c>
      <c r="H98" s="1974"/>
      <c r="I98" s="1974" t="s">
        <v>14</v>
      </c>
      <c r="J98" s="1974"/>
      <c r="K98" s="1974" t="s">
        <v>14</v>
      </c>
      <c r="L98" s="1974"/>
      <c r="M98" s="1974" t="s">
        <v>14</v>
      </c>
      <c r="N98" s="1974"/>
      <c r="O98" s="1974" t="s">
        <v>14</v>
      </c>
      <c r="P98" s="1974"/>
      <c r="Q98" s="1974" t="s">
        <v>14</v>
      </c>
      <c r="R98" s="1974"/>
      <c r="S98" s="1974" t="s">
        <v>14</v>
      </c>
      <c r="T98" s="1974"/>
      <c r="U98" s="1974" t="s">
        <v>14</v>
      </c>
      <c r="V98" s="1974"/>
      <c r="W98" s="1974" t="s">
        <v>14</v>
      </c>
      <c r="X98" s="1974"/>
      <c r="Y98" s="1974" t="s">
        <v>14</v>
      </c>
      <c r="Z98" s="1974"/>
      <c r="AA98" s="1974" t="s">
        <v>14</v>
      </c>
      <c r="AB98" s="1974"/>
      <c r="AC98" s="2018"/>
      <c r="AD98" s="1974"/>
      <c r="AE98" s="3130"/>
      <c r="AF98" s="1956"/>
      <c r="AG98" s="1974"/>
      <c r="AH98" s="1974"/>
      <c r="AI98" s="2554"/>
      <c r="AJ98" s="2555"/>
      <c r="AK98" s="2552"/>
      <c r="AL98" s="1777"/>
    </row>
    <row r="99" spans="1:41" ht="15.6">
      <c r="A99" s="2420"/>
      <c r="B99" s="2507" t="s">
        <v>208</v>
      </c>
      <c r="C99" s="2420"/>
      <c r="D99" s="2420"/>
      <c r="E99" s="1974" t="s">
        <v>14</v>
      </c>
      <c r="F99" s="1974"/>
      <c r="G99" s="1974"/>
      <c r="H99" s="1974"/>
      <c r="I99" s="1974"/>
      <c r="J99" s="1974"/>
      <c r="K99" s="1974"/>
      <c r="L99" s="1974"/>
      <c r="M99" s="1974"/>
      <c r="N99" s="1974"/>
      <c r="O99" s="1974"/>
      <c r="P99" s="1974"/>
      <c r="Q99" s="1974"/>
      <c r="R99" s="1974"/>
      <c r="S99" s="1974"/>
      <c r="T99" s="1974"/>
      <c r="U99" s="1974"/>
      <c r="V99" s="1974"/>
      <c r="W99" s="1974"/>
      <c r="X99" s="1974"/>
      <c r="Y99" s="1974"/>
      <c r="Z99" s="1974"/>
      <c r="AA99" s="1974"/>
      <c r="AB99" s="1974"/>
      <c r="AC99" s="2018"/>
      <c r="AD99" s="2555"/>
      <c r="AE99" s="3130"/>
      <c r="AF99" s="1956"/>
      <c r="AG99" s="2555"/>
      <c r="AH99" s="2555"/>
      <c r="AI99" s="2590"/>
      <c r="AJ99" s="2555"/>
      <c r="AK99" s="2552"/>
      <c r="AL99" s="1777"/>
      <c r="AO99" s="3598"/>
    </row>
    <row r="100" spans="1:41" s="3129" customFormat="1" ht="15.6">
      <c r="A100" s="1974"/>
      <c r="B100" s="2029" t="s">
        <v>1097</v>
      </c>
      <c r="C100" s="1974"/>
      <c r="D100" s="1974"/>
      <c r="E100" s="2591">
        <f>ROUND(SUM(E88+E95),1)</f>
        <v>69.599999999999994</v>
      </c>
      <c r="F100" s="2592"/>
      <c r="G100" s="2591">
        <f>ROUND(SUM(G88+G95),1)</f>
        <v>-124.7</v>
      </c>
      <c r="H100" s="2592"/>
      <c r="I100" s="2591">
        <f>ROUND(SUM(I88+I95),1)</f>
        <v>-87.1</v>
      </c>
      <c r="J100" s="2592"/>
      <c r="K100" s="2591">
        <f>ROUND(SUM(K88+K95),1)</f>
        <v>-98.1</v>
      </c>
      <c r="L100" s="2592"/>
      <c r="M100" s="2591">
        <f>ROUND(SUM(M88+M95),1)</f>
        <v>-89.1</v>
      </c>
      <c r="N100" s="2592"/>
      <c r="O100" s="2591">
        <f>ROUND(SUM(O88+O95),1)</f>
        <v>-291.39999999999998</v>
      </c>
      <c r="P100" s="2592"/>
      <c r="Q100" s="2591">
        <f>ROUND(SUM(Q88+Q95),1)</f>
        <v>724.9</v>
      </c>
      <c r="R100" s="2592"/>
      <c r="S100" s="2591">
        <f>ROUND(SUM(S88+S95),1)</f>
        <v>-147.19999999999999</v>
      </c>
      <c r="T100" s="2592"/>
      <c r="U100" s="2591">
        <f>ROUND(SUM(U88+U95),1)</f>
        <v>-123.9</v>
      </c>
      <c r="V100" s="2592"/>
      <c r="W100" s="2591">
        <f>ROUND(SUM(W88+W95),1)</f>
        <v>1.5</v>
      </c>
      <c r="X100" s="3599"/>
      <c r="Y100" s="2591">
        <f>ROUND(SUM(Y88+Y95),1)</f>
        <v>0</v>
      </c>
      <c r="Z100" s="2592"/>
      <c r="AA100" s="2591">
        <f>ROUND(SUM(AA88+AA95),1)</f>
        <v>0</v>
      </c>
      <c r="AB100" s="2592"/>
      <c r="AC100" s="2593"/>
      <c r="AD100" s="2591">
        <f>ROUND(SUM(AD88+AD95),1)</f>
        <v>-165.5</v>
      </c>
      <c r="AE100" s="3145"/>
      <c r="AF100" s="1446"/>
      <c r="AG100" s="2591">
        <f>ROUND(SUM(AG88+AG95),1)</f>
        <v>-452.5</v>
      </c>
      <c r="AH100" s="2594"/>
      <c r="AI100" s="2590"/>
      <c r="AJ100" s="2591">
        <f>ROUND(SUM(AJ88+AJ95),1)</f>
        <v>287</v>
      </c>
      <c r="AK100" s="2594"/>
      <c r="AL100" s="3596">
        <f>ROUND(IF(AG100=0,0,AJ100/ABS(AG100)),3)</f>
        <v>0.63400000000000001</v>
      </c>
      <c r="AM100" s="3600"/>
    </row>
    <row r="101" spans="1:41">
      <c r="B101" s="3601"/>
      <c r="X101" s="3602"/>
      <c r="AC101" s="2595"/>
      <c r="AF101" s="2595"/>
      <c r="AI101" s="2596"/>
    </row>
    <row r="102" spans="1:41" ht="16.2" thickBot="1">
      <c r="B102" s="2507" t="s">
        <v>1095</v>
      </c>
      <c r="C102" s="3603"/>
      <c r="D102" s="3603"/>
      <c r="E102" s="2597">
        <f>ROUND(SUM(E14+E100),1)</f>
        <v>-494.1</v>
      </c>
      <c r="F102" s="2598"/>
      <c r="G102" s="2597">
        <f>ROUND(SUM(G14+G100),1)</f>
        <v>-618.79999999999995</v>
      </c>
      <c r="I102" s="2597">
        <f>ROUND(SUM(I14+I100),1)</f>
        <v>-705.9</v>
      </c>
      <c r="K102" s="2597">
        <f>ROUND(SUM(K14+K100),1)</f>
        <v>-804</v>
      </c>
      <c r="M102" s="2597">
        <f>ROUND(SUM(M14+M100),1)</f>
        <v>-893.1</v>
      </c>
      <c r="O102" s="2597">
        <f>ROUND(SUM(O14+O100),1)</f>
        <v>-1184.5</v>
      </c>
      <c r="Q102" s="2597">
        <f>ROUND(SUM(Q14+Q100),1)</f>
        <v>-459.6</v>
      </c>
      <c r="S102" s="2597">
        <f>ROUND(SUM(S14+S100),1)</f>
        <v>-606.79999999999995</v>
      </c>
      <c r="U102" s="2597">
        <f>ROUND(SUM(U14+U100),1)</f>
        <v>-730.7</v>
      </c>
      <c r="W102" s="2597">
        <f>ROUND(SUM(W14+W100),1)</f>
        <v>-729.2</v>
      </c>
      <c r="Y102" s="2597">
        <f>ROUND(SUM(Y14+Y100),1)</f>
        <v>0</v>
      </c>
      <c r="AA102" s="2597">
        <f>ROUND(SUM(AA14+AA100),1)</f>
        <v>0</v>
      </c>
      <c r="AC102" s="2595"/>
      <c r="AD102" s="2597">
        <f>ROUND(SUM(AD14+AD100),1)</f>
        <v>-729.2</v>
      </c>
      <c r="AF102" s="2595"/>
      <c r="AG102" s="2597">
        <f>ROUND(SUM(AG14+AG100),1)</f>
        <v>-924.7</v>
      </c>
      <c r="AI102" s="2596"/>
      <c r="AJ102" s="2597">
        <f>ROUND(SUM(AJ14+AJ100),1)</f>
        <v>195.5</v>
      </c>
      <c r="AL102" s="3604">
        <f>ROUND(IF(AG102=0,0,AJ102/ABS(AG102)),3)</f>
        <v>0.21099999999999999</v>
      </c>
    </row>
    <row r="103" spans="1:41" ht="15.6" thickTop="1">
      <c r="B103" s="3605"/>
      <c r="C103" s="3603"/>
      <c r="D103" s="3603"/>
      <c r="E103" s="2598"/>
      <c r="F103" s="2598"/>
      <c r="G103" s="2598"/>
      <c r="AG103" s="3396"/>
      <c r="AJ103" s="2599"/>
    </row>
    <row r="104" spans="1:41">
      <c r="B104" s="3606"/>
    </row>
    <row r="105" spans="1:41">
      <c r="B105" s="3606"/>
      <c r="AD105" s="3129"/>
    </row>
    <row r="106" spans="1:41">
      <c r="B106" s="3607"/>
    </row>
    <row r="107" spans="1:41">
      <c r="B107" s="3606"/>
    </row>
    <row r="108" spans="1:41">
      <c r="B108" s="3606"/>
    </row>
    <row r="109" spans="1:41">
      <c r="B109" s="3607"/>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145" workbookViewId="0"/>
  </sheetViews>
  <sheetFormatPr defaultColWidth="8.81640625" defaultRowHeight="15"/>
  <cols>
    <col min="1" max="1" width="2.54296875" style="1078" customWidth="1"/>
    <col min="2" max="2" width="14.08984375" style="1078" customWidth="1"/>
    <col min="3" max="3" width="26.54296875" style="1078" customWidth="1"/>
    <col min="4" max="4" width="2.08984375" style="1078" customWidth="1"/>
    <col min="5" max="5" width="11.08984375" style="1078" customWidth="1"/>
    <col min="6" max="6" width="1.81640625" style="1078" customWidth="1"/>
    <col min="7" max="7" width="11" style="1078" bestFit="1" customWidth="1"/>
    <col min="8" max="8" width="1.81640625" style="1078" customWidth="1"/>
    <col min="9" max="9" width="11" style="1078" bestFit="1" customWidth="1"/>
    <col min="10" max="10" width="1.81640625" style="1078" customWidth="1"/>
    <col min="11" max="11" width="12.08984375" style="1078" customWidth="1"/>
    <col min="12" max="12" width="1.81640625" style="1078" customWidth="1"/>
    <col min="13" max="13" width="11" style="1078" customWidth="1"/>
    <col min="14" max="14" width="1.81640625" style="1078" customWidth="1"/>
    <col min="15" max="15" width="13.81640625" style="1078" customWidth="1"/>
    <col min="16" max="16" width="1.81640625" style="1078" customWidth="1"/>
    <col min="17" max="17" width="12.453125" style="1078" customWidth="1"/>
    <col min="18" max="18" width="1.81640625" style="1078" customWidth="1"/>
    <col min="19" max="19" width="12.54296875" style="1078" customWidth="1"/>
    <col min="20" max="20" width="1.81640625" style="1078" customWidth="1"/>
    <col min="21" max="21" width="10.81640625" style="1078" customWidth="1"/>
    <col min="22" max="22" width="1.81640625" style="1078" customWidth="1"/>
    <col min="23" max="23" width="10.54296875" style="1078" customWidth="1"/>
    <col min="24" max="24" width="1.81640625" style="1078" customWidth="1"/>
    <col min="25" max="25" width="10.81640625" style="1078" customWidth="1"/>
    <col min="26" max="26" width="1.81640625" style="1078" customWidth="1"/>
    <col min="27" max="27" width="11.81640625" style="1078" customWidth="1"/>
    <col min="28" max="29" width="1.81640625" style="1078" customWidth="1"/>
    <col min="30" max="30" width="10.54296875" style="1078" customWidth="1"/>
    <col min="31" max="32" width="1" style="1078" customWidth="1"/>
    <col min="33" max="33" width="12.81640625" style="1078" customWidth="1"/>
    <col min="34" max="35" width="1" style="1078" customWidth="1"/>
    <col min="36" max="36" width="13.08984375" style="1078" bestFit="1" customWidth="1"/>
    <col min="37" max="37" width="1.08984375" style="1078" customWidth="1"/>
    <col min="38" max="38" width="11.54296875" style="1078" customWidth="1"/>
    <col min="39" max="16384" width="8.81640625" style="1078"/>
  </cols>
  <sheetData>
    <row r="1" spans="1:39">
      <c r="B1" s="1484" t="s">
        <v>881</v>
      </c>
    </row>
    <row r="2" spans="1:39">
      <c r="B2" s="3617"/>
    </row>
    <row r="3" spans="1:39" ht="19.5" customHeight="1">
      <c r="A3" s="3618"/>
      <c r="B3" s="188" t="s">
        <v>0</v>
      </c>
      <c r="C3" s="1079"/>
      <c r="D3" s="1079"/>
      <c r="E3" s="1079"/>
      <c r="F3" s="1080"/>
      <c r="G3" s="1080"/>
      <c r="H3" s="1080"/>
      <c r="I3" s="1080"/>
      <c r="J3" s="1080"/>
      <c r="K3" s="1080"/>
      <c r="L3" s="1080"/>
      <c r="M3" s="1080"/>
      <c r="N3" s="1080"/>
      <c r="O3" s="1080"/>
      <c r="P3" s="1080"/>
      <c r="Q3" s="1080"/>
      <c r="R3" s="1080"/>
      <c r="S3" s="3619"/>
      <c r="T3" s="1080"/>
      <c r="U3" s="1080"/>
      <c r="V3" s="1080"/>
      <c r="W3" s="1080"/>
      <c r="X3" s="1080"/>
      <c r="Y3" s="1080"/>
      <c r="Z3" s="1080"/>
      <c r="AA3" s="1080"/>
      <c r="AB3" s="1080"/>
      <c r="AC3" s="1080"/>
      <c r="AD3" s="1080"/>
      <c r="AE3" s="1080"/>
      <c r="AF3" s="1080"/>
      <c r="AG3" s="1080"/>
      <c r="AH3" s="1080"/>
      <c r="AI3" s="1080"/>
      <c r="AL3" s="3190" t="s">
        <v>193</v>
      </c>
    </row>
    <row r="4" spans="1:39" ht="19.5" customHeight="1">
      <c r="A4" s="3618"/>
      <c r="B4" s="188" t="s">
        <v>210</v>
      </c>
      <c r="C4" s="1079"/>
      <c r="D4" s="1079"/>
      <c r="E4" s="1079"/>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E4" s="3146"/>
      <c r="AF4" s="3146"/>
    </row>
    <row r="5" spans="1:39" ht="19.5" customHeight="1">
      <c r="A5" s="3618"/>
      <c r="B5" s="3620" t="s">
        <v>147</v>
      </c>
      <c r="C5" s="1079"/>
      <c r="D5" s="1079"/>
      <c r="E5" s="1079"/>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L5" s="3190"/>
    </row>
    <row r="6" spans="1:39" ht="19.5" customHeight="1">
      <c r="A6" s="3618"/>
      <c r="B6" s="3620" t="str">
        <f>'Cashflow Governmental'!A6</f>
        <v xml:space="preserve">FISCAL YEAR 2021-2022   </v>
      </c>
      <c r="C6" s="3621"/>
      <c r="D6" s="1079"/>
      <c r="E6" s="1079"/>
      <c r="F6" s="1080"/>
      <c r="G6" s="1080"/>
      <c r="H6" s="1081"/>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5"/>
      <c r="AF6" s="1085"/>
      <c r="AG6" s="1085"/>
      <c r="AH6" s="1085"/>
      <c r="AI6" s="1085"/>
    </row>
    <row r="7" spans="1:39" ht="19.5" customHeight="1">
      <c r="A7" s="3618"/>
      <c r="B7" s="188" t="s">
        <v>1264</v>
      </c>
      <c r="C7" s="1079"/>
      <c r="D7" s="1079"/>
      <c r="E7" s="1079"/>
      <c r="F7" s="1080"/>
      <c r="G7" s="1080"/>
      <c r="H7" s="1081"/>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5"/>
      <c r="AF7" s="1085"/>
      <c r="AG7" s="1085"/>
      <c r="AH7" s="1085"/>
      <c r="AI7" s="1085"/>
    </row>
    <row r="8" spans="1:39" ht="19.5" customHeight="1">
      <c r="A8" s="3618"/>
      <c r="B8" s="3622"/>
      <c r="C8" s="1079"/>
      <c r="D8" s="1079"/>
      <c r="E8" s="1079"/>
      <c r="F8" s="1080"/>
      <c r="G8" s="1080"/>
      <c r="H8" s="1081"/>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5"/>
      <c r="AF8" s="1085"/>
      <c r="AG8" s="1085"/>
      <c r="AH8" s="1085"/>
      <c r="AI8" s="1085"/>
    </row>
    <row r="9" spans="1:39" ht="15.75" customHeight="1">
      <c r="A9" s="3618"/>
      <c r="B9" s="188"/>
      <c r="C9" s="1079"/>
      <c r="D9" s="1079"/>
      <c r="E9" s="1079"/>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6"/>
    </row>
    <row r="10" spans="1:39" ht="22.8">
      <c r="A10" s="3618"/>
      <c r="B10" s="188"/>
      <c r="C10" s="1079"/>
      <c r="D10" s="1079"/>
      <c r="E10" s="1079"/>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6"/>
      <c r="AD10" s="3983" t="s">
        <v>1572</v>
      </c>
      <c r="AE10" s="3984"/>
      <c r="AF10" s="3984"/>
      <c r="AG10" s="3984"/>
      <c r="AH10" s="3984"/>
      <c r="AI10" s="3984"/>
      <c r="AJ10" s="3984"/>
      <c r="AK10" s="3984"/>
      <c r="AL10" s="3984"/>
    </row>
    <row r="11" spans="1:39" ht="15.6">
      <c r="A11" s="1098"/>
      <c r="B11" s="1098"/>
      <c r="C11" s="1098"/>
      <c r="D11" s="1098"/>
      <c r="E11" s="730" t="str">
        <f>'Cashflow Governmental'!C13</f>
        <v>2021</v>
      </c>
      <c r="F11" s="1082"/>
      <c r="G11" s="1082"/>
      <c r="H11" s="1082"/>
      <c r="I11" s="1082"/>
      <c r="J11" s="1082"/>
      <c r="K11" s="1082"/>
      <c r="L11" s="1082"/>
      <c r="M11" s="1082"/>
      <c r="N11" s="1082"/>
      <c r="O11" s="1082"/>
      <c r="P11" s="1082"/>
      <c r="Q11" s="1082"/>
      <c r="R11" s="1082"/>
      <c r="S11" s="1082"/>
      <c r="T11" s="1082"/>
      <c r="U11" s="1082"/>
      <c r="V11" s="1082"/>
      <c r="W11" s="730">
        <f>'Cashflow Governmental'!U13</f>
        <v>2022</v>
      </c>
      <c r="X11" s="1082"/>
      <c r="Y11" s="1082"/>
      <c r="Z11" s="1082"/>
      <c r="AA11" s="1082"/>
      <c r="AB11" s="1082"/>
      <c r="AC11" s="1082"/>
      <c r="AD11" s="1087"/>
      <c r="AE11" s="1087"/>
      <c r="AF11" s="1087"/>
      <c r="AG11" s="1087"/>
      <c r="AH11" s="1087"/>
      <c r="AI11" s="1087"/>
      <c r="AJ11" s="1088" t="s">
        <v>7</v>
      </c>
      <c r="AK11" s="1088"/>
      <c r="AL11" s="3623" t="s">
        <v>8</v>
      </c>
      <c r="AM11" s="3624"/>
    </row>
    <row r="12" spans="1:39" ht="15.6">
      <c r="A12" s="104"/>
      <c r="B12" s="104"/>
      <c r="C12" s="104"/>
      <c r="D12" s="104"/>
      <c r="E12" s="750" t="s">
        <v>123</v>
      </c>
      <c r="F12" s="102"/>
      <c r="G12" s="750" t="s">
        <v>124</v>
      </c>
      <c r="H12" s="102"/>
      <c r="I12" s="750" t="s">
        <v>125</v>
      </c>
      <c r="J12" s="102"/>
      <c r="K12" s="750" t="s">
        <v>126</v>
      </c>
      <c r="L12" s="102"/>
      <c r="M12" s="750" t="s">
        <v>127</v>
      </c>
      <c r="N12" s="102"/>
      <c r="O12" s="750" t="s">
        <v>142</v>
      </c>
      <c r="P12" s="102"/>
      <c r="Q12" s="750" t="s">
        <v>143</v>
      </c>
      <c r="R12" s="102"/>
      <c r="S12" s="750" t="s">
        <v>130</v>
      </c>
      <c r="T12" s="102"/>
      <c r="U12" s="750" t="s">
        <v>131</v>
      </c>
      <c r="V12" s="102"/>
      <c r="W12" s="750" t="s">
        <v>132</v>
      </c>
      <c r="X12" s="102"/>
      <c r="Y12" s="750" t="s">
        <v>133</v>
      </c>
      <c r="Z12" s="102"/>
      <c r="AA12" s="750" t="s">
        <v>184</v>
      </c>
      <c r="AB12" s="102"/>
      <c r="AC12" s="102"/>
      <c r="AD12" s="750">
        <f>'Cashflow Governmental'!AB14</f>
        <v>2022</v>
      </c>
      <c r="AE12" s="102" t="s">
        <v>14</v>
      </c>
      <c r="AF12" s="102"/>
      <c r="AG12" s="750">
        <f>'Cashflow Governmental'!AE14</f>
        <v>2021</v>
      </c>
      <c r="AH12" s="751"/>
      <c r="AI12" s="751"/>
      <c r="AJ12" s="1089" t="s">
        <v>11</v>
      </c>
      <c r="AK12" s="3625"/>
      <c r="AL12" s="1089" t="s">
        <v>12</v>
      </c>
      <c r="AM12" s="3624"/>
    </row>
    <row r="13" spans="1:39" ht="5.25" customHeight="1">
      <c r="A13" s="104"/>
      <c r="B13" s="102"/>
      <c r="C13" s="102"/>
      <c r="D13" s="104"/>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059"/>
      <c r="AD13" s="137"/>
      <c r="AE13" s="137"/>
      <c r="AF13" s="3123"/>
      <c r="AG13" s="137"/>
      <c r="AH13" s="137"/>
      <c r="AI13" s="978"/>
      <c r="AJ13" s="1090"/>
      <c r="AK13" s="1090"/>
      <c r="AL13" s="1090"/>
    </row>
    <row r="14" spans="1:39" ht="15.6">
      <c r="A14" s="104"/>
      <c r="B14" s="258" t="s">
        <v>1131</v>
      </c>
      <c r="C14" s="102"/>
      <c r="D14" s="1826"/>
      <c r="E14" s="303">
        <v>-580.29999999999995</v>
      </c>
      <c r="F14" s="137"/>
      <c r="G14" s="303">
        <f>E82</f>
        <v>-627.70000000000005</v>
      </c>
      <c r="H14" s="137"/>
      <c r="I14" s="303">
        <f>G82</f>
        <v>-728.1</v>
      </c>
      <c r="J14" s="137"/>
      <c r="K14" s="303">
        <f>I82</f>
        <v>-855.8</v>
      </c>
      <c r="L14" s="137"/>
      <c r="M14" s="303">
        <f>K82</f>
        <v>-902.2</v>
      </c>
      <c r="N14" s="137"/>
      <c r="O14" s="303">
        <f>M82</f>
        <v>-905.5</v>
      </c>
      <c r="P14" s="137"/>
      <c r="Q14" s="303">
        <f>O82</f>
        <v>-1005.2</v>
      </c>
      <c r="R14" s="882"/>
      <c r="S14" s="132">
        <f>Q82</f>
        <v>-1098.4000000000001</v>
      </c>
      <c r="T14" s="1858"/>
      <c r="U14" s="132">
        <f>S82</f>
        <v>-960</v>
      </c>
      <c r="V14" s="882"/>
      <c r="W14" s="132">
        <f>U82</f>
        <v>-932.6</v>
      </c>
      <c r="X14" s="882"/>
      <c r="Y14" s="132"/>
      <c r="Z14" s="1858"/>
      <c r="AA14" s="132"/>
      <c r="AB14" s="137"/>
      <c r="AC14" s="1059"/>
      <c r="AD14" s="1831">
        <f>E14</f>
        <v>-580.29999999999995</v>
      </c>
      <c r="AE14" s="137"/>
      <c r="AF14" s="3123"/>
      <c r="AG14" s="1831">
        <v>-562.70000000000005</v>
      </c>
      <c r="AH14" s="137"/>
      <c r="AI14" s="978"/>
      <c r="AJ14" s="1832">
        <f>+AD14-AG14</f>
        <v>-17.599999999999909</v>
      </c>
      <c r="AK14" s="1090"/>
      <c r="AL14" s="3626">
        <f>-ROUND((+AJ14/AG14),3)</f>
        <v>-3.1E-2</v>
      </c>
    </row>
    <row r="15" spans="1:39" ht="15.6">
      <c r="A15" s="104"/>
      <c r="B15" s="102"/>
      <c r="C15" s="102"/>
      <c r="D15" s="104"/>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059"/>
      <c r="AD15" s="137"/>
      <c r="AE15" s="137"/>
      <c r="AF15" s="3123"/>
      <c r="AG15" s="137"/>
      <c r="AH15" s="137"/>
      <c r="AI15" s="978"/>
      <c r="AJ15" s="1090"/>
      <c r="AK15" s="1090"/>
      <c r="AL15" s="1090"/>
    </row>
    <row r="16" spans="1:39" ht="15.6">
      <c r="A16" s="104"/>
      <c r="B16" s="102" t="s">
        <v>194</v>
      </c>
      <c r="C16" s="104"/>
      <c r="D16" s="104"/>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059"/>
      <c r="AD16" s="137"/>
      <c r="AE16" s="114"/>
      <c r="AF16" s="3123"/>
      <c r="AG16" s="137"/>
      <c r="AH16" s="137"/>
      <c r="AI16" s="978"/>
      <c r="AJ16" s="1090"/>
      <c r="AK16" s="1090"/>
      <c r="AL16" s="1090"/>
    </row>
    <row r="17" spans="1:38" ht="15.6">
      <c r="A17" s="104"/>
      <c r="B17" s="880" t="s">
        <v>929</v>
      </c>
      <c r="C17" s="104"/>
      <c r="D17" s="104"/>
      <c r="E17" s="1068"/>
      <c r="F17" s="115"/>
      <c r="G17" s="1068"/>
      <c r="H17" s="115"/>
      <c r="I17" s="1068"/>
      <c r="J17" s="115"/>
      <c r="K17" s="1068"/>
      <c r="L17" s="115"/>
      <c r="M17" s="115"/>
      <c r="N17" s="115"/>
      <c r="O17" s="1068"/>
      <c r="P17" s="115"/>
      <c r="Q17" s="1068"/>
      <c r="R17" s="115"/>
      <c r="S17" s="1068"/>
      <c r="T17" s="115"/>
      <c r="U17" s="1068"/>
      <c r="V17" s="115"/>
      <c r="W17" s="1068"/>
      <c r="X17" s="115"/>
      <c r="Y17" s="1068"/>
      <c r="Z17" s="115"/>
      <c r="AA17" s="1068"/>
      <c r="AB17" s="115"/>
      <c r="AC17" s="668"/>
      <c r="AD17" s="3147"/>
      <c r="AE17" s="1069"/>
      <c r="AF17" s="64"/>
      <c r="AG17" s="115"/>
      <c r="AH17" s="116"/>
      <c r="AI17" s="1070"/>
      <c r="AJ17" s="116"/>
      <c r="AK17" s="1071"/>
      <c r="AL17" s="1072"/>
    </row>
    <row r="18" spans="1:38" ht="15.6">
      <c r="A18" s="104"/>
      <c r="B18" s="880" t="s">
        <v>1044</v>
      </c>
      <c r="C18" s="104"/>
      <c r="D18" s="104"/>
      <c r="E18" s="1068"/>
      <c r="F18" s="115"/>
      <c r="G18" s="1068"/>
      <c r="H18" s="115"/>
      <c r="I18" s="1068"/>
      <c r="J18" s="115"/>
      <c r="K18" s="1068"/>
      <c r="L18" s="115"/>
      <c r="M18" s="115"/>
      <c r="N18" s="115"/>
      <c r="O18" s="1068"/>
      <c r="P18" s="115"/>
      <c r="Q18" s="1068"/>
      <c r="R18" s="115"/>
      <c r="S18" s="1068"/>
      <c r="T18" s="115"/>
      <c r="U18" s="1068"/>
      <c r="V18" s="115"/>
      <c r="W18" s="1068"/>
      <c r="X18" s="115"/>
      <c r="Y18" s="1068"/>
      <c r="Z18" s="115"/>
      <c r="AA18" s="1068"/>
      <c r="AB18" s="115"/>
      <c r="AC18" s="668"/>
      <c r="AD18" s="3147"/>
      <c r="AE18" s="1073"/>
      <c r="AF18" s="64"/>
      <c r="AG18" s="115"/>
      <c r="AH18" s="116"/>
      <c r="AI18" s="1070"/>
      <c r="AJ18" s="116"/>
      <c r="AK18" s="1071"/>
      <c r="AL18" s="1706"/>
    </row>
    <row r="19" spans="1:38" s="981" customFormat="1">
      <c r="A19" s="982"/>
      <c r="B19" s="880" t="s">
        <v>962</v>
      </c>
      <c r="C19" s="982"/>
      <c r="D19" s="982"/>
      <c r="E19" s="1520">
        <v>0</v>
      </c>
      <c r="F19" s="883"/>
      <c r="G19" s="1520">
        <v>0</v>
      </c>
      <c r="H19" s="883"/>
      <c r="I19" s="1520">
        <v>0</v>
      </c>
      <c r="J19" s="883"/>
      <c r="K19" s="1520">
        <v>0</v>
      </c>
      <c r="L19" s="883"/>
      <c r="M19" s="1520">
        <v>0</v>
      </c>
      <c r="N19" s="883"/>
      <c r="O19" s="1520">
        <v>0</v>
      </c>
      <c r="P19" s="883"/>
      <c r="Q19" s="1520">
        <v>0</v>
      </c>
      <c r="R19" s="883"/>
      <c r="S19" s="1520">
        <v>0</v>
      </c>
      <c r="T19" s="1400"/>
      <c r="U19" s="1520">
        <v>0</v>
      </c>
      <c r="V19" s="883"/>
      <c r="W19" s="1520">
        <f>$AD19-$E19-$G19-$I19-$K19-$M19-$O19-$Q19-U19-S19</f>
        <v>0</v>
      </c>
      <c r="X19" s="883"/>
      <c r="Y19" s="1520"/>
      <c r="Z19" s="883"/>
      <c r="AA19" s="1520"/>
      <c r="AB19" s="883"/>
      <c r="AC19" s="1401"/>
      <c r="AD19" s="1520">
        <v>0</v>
      </c>
      <c r="AE19" s="3148"/>
      <c r="AF19" s="1012"/>
      <c r="AG19" s="1520">
        <v>0</v>
      </c>
      <c r="AH19" s="673"/>
      <c r="AI19" s="1911"/>
      <c r="AJ19" s="673">
        <f>ROUND(AD19-AG19,1)</f>
        <v>0</v>
      </c>
      <c r="AK19" s="1702"/>
      <c r="AL19" s="1703">
        <f>ROUND(IF(AG19=0,0,AJ19/ABS(AG19)),3)</f>
        <v>0</v>
      </c>
    </row>
    <row r="20" spans="1:38" s="981" customFormat="1" ht="15.6">
      <c r="A20" s="982"/>
      <c r="B20" s="880" t="s">
        <v>1045</v>
      </c>
      <c r="C20" s="982"/>
      <c r="D20" s="982"/>
      <c r="E20" s="1520" t="s">
        <v>14</v>
      </c>
      <c r="F20" s="883"/>
      <c r="G20" s="1520"/>
      <c r="H20" s="883"/>
      <c r="I20" s="1520"/>
      <c r="J20" s="883"/>
      <c r="K20" s="1520"/>
      <c r="L20" s="883"/>
      <c r="M20" s="1520"/>
      <c r="N20" s="883"/>
      <c r="O20" s="1520"/>
      <c r="P20" s="883"/>
      <c r="Q20" s="1520"/>
      <c r="R20" s="883"/>
      <c r="S20" s="1520"/>
      <c r="T20" s="883"/>
      <c r="U20" s="1520"/>
      <c r="V20" s="883"/>
      <c r="W20" s="1520"/>
      <c r="X20" s="883"/>
      <c r="Y20" s="1520"/>
      <c r="Z20" s="883"/>
      <c r="AA20" s="1520"/>
      <c r="AB20" s="883"/>
      <c r="AC20" s="1401"/>
      <c r="AD20" s="883"/>
      <c r="AE20" s="3148"/>
      <c r="AF20" s="1012"/>
      <c r="AG20" s="883"/>
      <c r="AH20" s="673"/>
      <c r="AI20" s="1070"/>
      <c r="AJ20" s="673" t="s">
        <v>14</v>
      </c>
      <c r="AK20" s="1702"/>
      <c r="AL20" s="1704" t="s">
        <v>14</v>
      </c>
    </row>
    <row r="21" spans="1:38" s="981" customFormat="1" ht="15.6">
      <c r="A21" s="982"/>
      <c r="B21" s="880" t="s">
        <v>963</v>
      </c>
      <c r="C21" s="982"/>
      <c r="D21" s="982"/>
      <c r="E21" s="1520">
        <v>0</v>
      </c>
      <c r="F21" s="883"/>
      <c r="G21" s="1520">
        <v>0</v>
      </c>
      <c r="H21" s="883"/>
      <c r="I21" s="1520">
        <v>0</v>
      </c>
      <c r="J21" s="883"/>
      <c r="K21" s="1520">
        <v>0</v>
      </c>
      <c r="L21" s="883"/>
      <c r="M21" s="1520">
        <v>0</v>
      </c>
      <c r="N21" s="883"/>
      <c r="O21" s="1520">
        <v>0</v>
      </c>
      <c r="P21" s="883"/>
      <c r="Q21" s="1520">
        <v>0</v>
      </c>
      <c r="R21" s="883"/>
      <c r="S21" s="1520">
        <v>0</v>
      </c>
      <c r="T21" s="1520"/>
      <c r="U21" s="1520">
        <v>0</v>
      </c>
      <c r="V21" s="883"/>
      <c r="W21" s="1520">
        <f>$AD21-$E21-$G21-$I21-$K21-$M21-$O21-$Q21-U21-S21</f>
        <v>0</v>
      </c>
      <c r="X21" s="883"/>
      <c r="Y21" s="1520"/>
      <c r="Z21" s="883"/>
      <c r="AA21" s="1520"/>
      <c r="AB21" s="883"/>
      <c r="AC21" s="1401"/>
      <c r="AD21" s="1520">
        <v>0</v>
      </c>
      <c r="AE21" s="3148"/>
      <c r="AF21" s="1012"/>
      <c r="AG21" s="1520">
        <v>0</v>
      </c>
      <c r="AH21" s="673"/>
      <c r="AI21" s="1070"/>
      <c r="AJ21" s="673">
        <f t="shared" ref="AJ21:AJ41" si="0">ROUND(AD21-AG21,1)</f>
        <v>0</v>
      </c>
      <c r="AK21" s="1702"/>
      <c r="AL21" s="1704">
        <f>ROUND(IF(AG21=0,0,AJ21/ABS(AG21)),3)</f>
        <v>0</v>
      </c>
    </row>
    <row r="22" spans="1:38" s="981" customFormat="1" ht="15.6">
      <c r="A22" s="982"/>
      <c r="B22" s="880" t="s">
        <v>1049</v>
      </c>
      <c r="C22" s="982"/>
      <c r="D22" s="982"/>
      <c r="E22" s="1520" t="s">
        <v>14</v>
      </c>
      <c r="F22" s="883"/>
      <c r="G22" s="1520"/>
      <c r="H22" s="883"/>
      <c r="I22" s="1520"/>
      <c r="J22" s="883"/>
      <c r="K22" s="1520"/>
      <c r="L22" s="883"/>
      <c r="M22" s="1520"/>
      <c r="N22" s="883"/>
      <c r="O22" s="1520"/>
      <c r="P22" s="883"/>
      <c r="Q22" s="1520"/>
      <c r="R22" s="883"/>
      <c r="S22" s="1520"/>
      <c r="T22" s="883"/>
      <c r="U22" s="1520"/>
      <c r="V22" s="883"/>
      <c r="W22" s="1520"/>
      <c r="X22" s="883"/>
      <c r="Y22" s="1520"/>
      <c r="Z22" s="883"/>
      <c r="AA22" s="1520"/>
      <c r="AB22" s="883"/>
      <c r="AC22" s="1401"/>
      <c r="AD22" s="883"/>
      <c r="AE22" s="3148"/>
      <c r="AF22" s="1012"/>
      <c r="AG22" s="883"/>
      <c r="AH22" s="673"/>
      <c r="AI22" s="1070"/>
      <c r="AJ22" s="673" t="s">
        <v>14</v>
      </c>
      <c r="AK22" s="1702"/>
      <c r="AL22" s="1704" t="s">
        <v>14</v>
      </c>
    </row>
    <row r="23" spans="1:38" s="981" customFormat="1" ht="15.6">
      <c r="A23" s="982"/>
      <c r="B23" s="880" t="s">
        <v>967</v>
      </c>
      <c r="C23" s="982"/>
      <c r="D23" s="982"/>
      <c r="E23" s="1520">
        <v>0</v>
      </c>
      <c r="F23" s="883"/>
      <c r="G23" s="1520">
        <v>0</v>
      </c>
      <c r="H23" s="883"/>
      <c r="I23" s="1520">
        <v>0</v>
      </c>
      <c r="J23" s="883"/>
      <c r="K23" s="1520">
        <v>0</v>
      </c>
      <c r="L23" s="883"/>
      <c r="M23" s="1520">
        <v>0</v>
      </c>
      <c r="N23" s="883"/>
      <c r="O23" s="1520">
        <v>0</v>
      </c>
      <c r="P23" s="883"/>
      <c r="Q23" s="1520">
        <v>0</v>
      </c>
      <c r="R23" s="883"/>
      <c r="S23" s="1520">
        <v>0</v>
      </c>
      <c r="T23" s="1520"/>
      <c r="U23" s="1520">
        <v>0</v>
      </c>
      <c r="V23" s="883"/>
      <c r="W23" s="1520">
        <f t="shared" ref="W23:W41" si="1">$AD23-$E23-$G23-$I23-$K23-$M23-$O23-$Q23-U23-S23</f>
        <v>0</v>
      </c>
      <c r="X23" s="883"/>
      <c r="Y23" s="1520"/>
      <c r="Z23" s="883"/>
      <c r="AA23" s="1520"/>
      <c r="AB23" s="883"/>
      <c r="AC23" s="1401"/>
      <c r="AD23" s="1520">
        <v>0</v>
      </c>
      <c r="AE23" s="3148"/>
      <c r="AF23" s="1012"/>
      <c r="AG23" s="1520">
        <v>0</v>
      </c>
      <c r="AH23" s="673"/>
      <c r="AI23" s="1070"/>
      <c r="AJ23" s="673">
        <f t="shared" si="0"/>
        <v>0</v>
      </c>
      <c r="AK23" s="1702"/>
      <c r="AL23" s="1704">
        <f t="shared" ref="AL23:AL28" si="2">ROUND(IF(AG23=0,0,AJ23/ABS(AG23)),3)</f>
        <v>0</v>
      </c>
    </row>
    <row r="24" spans="1:38" s="981" customFormat="1" ht="15.6">
      <c r="A24" s="982"/>
      <c r="B24" s="880" t="s">
        <v>1105</v>
      </c>
      <c r="C24" s="982"/>
      <c r="D24" s="982"/>
      <c r="E24" s="1520">
        <v>0</v>
      </c>
      <c r="F24" s="883"/>
      <c r="G24" s="1520">
        <v>0</v>
      </c>
      <c r="H24" s="883"/>
      <c r="I24" s="1520">
        <v>0</v>
      </c>
      <c r="J24" s="883"/>
      <c r="K24" s="1520">
        <v>0</v>
      </c>
      <c r="L24" s="883"/>
      <c r="M24" s="1520">
        <v>0</v>
      </c>
      <c r="N24" s="883"/>
      <c r="O24" s="1520">
        <v>0</v>
      </c>
      <c r="P24" s="883"/>
      <c r="Q24" s="1520">
        <v>0</v>
      </c>
      <c r="R24" s="883"/>
      <c r="S24" s="1520">
        <v>0</v>
      </c>
      <c r="T24" s="1520"/>
      <c r="U24" s="1520">
        <v>0</v>
      </c>
      <c r="V24" s="883"/>
      <c r="W24" s="1520">
        <f t="shared" si="1"/>
        <v>0</v>
      </c>
      <c r="X24" s="883"/>
      <c r="Y24" s="1520"/>
      <c r="Z24" s="883"/>
      <c r="AA24" s="1520"/>
      <c r="AB24" s="883"/>
      <c r="AC24" s="1401"/>
      <c r="AD24" s="1520">
        <v>0</v>
      </c>
      <c r="AE24" s="3148"/>
      <c r="AF24" s="1012"/>
      <c r="AG24" s="1520">
        <v>0</v>
      </c>
      <c r="AH24" s="673"/>
      <c r="AI24" s="1070"/>
      <c r="AJ24" s="673">
        <f>ROUND(AD24-AG24,1)</f>
        <v>0</v>
      </c>
      <c r="AK24" s="1702"/>
      <c r="AL24" s="1704">
        <f t="shared" si="2"/>
        <v>0</v>
      </c>
    </row>
    <row r="25" spans="1:38" s="981" customFormat="1" ht="15.6">
      <c r="A25" s="982"/>
      <c r="B25" s="880" t="s">
        <v>970</v>
      </c>
      <c r="C25" s="982"/>
      <c r="D25" s="982"/>
      <c r="E25" s="1520">
        <v>0</v>
      </c>
      <c r="F25" s="883"/>
      <c r="G25" s="1520">
        <v>0</v>
      </c>
      <c r="H25" s="883"/>
      <c r="I25" s="1520">
        <v>0</v>
      </c>
      <c r="J25" s="883"/>
      <c r="K25" s="1520">
        <v>0</v>
      </c>
      <c r="L25" s="883"/>
      <c r="M25" s="1520">
        <v>0</v>
      </c>
      <c r="N25" s="883"/>
      <c r="O25" s="1520">
        <v>0</v>
      </c>
      <c r="P25" s="883"/>
      <c r="Q25" s="1520">
        <v>0</v>
      </c>
      <c r="R25" s="883"/>
      <c r="S25" s="1520">
        <v>0</v>
      </c>
      <c r="T25" s="1520"/>
      <c r="U25" s="1520">
        <v>0</v>
      </c>
      <c r="V25" s="883"/>
      <c r="W25" s="1520">
        <f t="shared" si="1"/>
        <v>0</v>
      </c>
      <c r="X25" s="883"/>
      <c r="Y25" s="1520"/>
      <c r="Z25" s="883"/>
      <c r="AA25" s="1520"/>
      <c r="AB25" s="883"/>
      <c r="AC25" s="1401"/>
      <c r="AD25" s="1520">
        <v>0</v>
      </c>
      <c r="AE25" s="3148"/>
      <c r="AF25" s="1012"/>
      <c r="AG25" s="1520">
        <v>0</v>
      </c>
      <c r="AH25" s="673"/>
      <c r="AI25" s="1070"/>
      <c r="AJ25" s="673">
        <f t="shared" si="0"/>
        <v>0</v>
      </c>
      <c r="AK25" s="1702"/>
      <c r="AL25" s="1704">
        <f t="shared" si="2"/>
        <v>0</v>
      </c>
    </row>
    <row r="26" spans="1:38" s="981" customFormat="1" ht="15.6">
      <c r="A26" s="982"/>
      <c r="B26" s="880" t="s">
        <v>971</v>
      </c>
      <c r="C26" s="982"/>
      <c r="D26" s="982"/>
      <c r="E26" s="1520">
        <v>0</v>
      </c>
      <c r="F26" s="883"/>
      <c r="G26" s="1520">
        <v>0</v>
      </c>
      <c r="H26" s="883"/>
      <c r="I26" s="1520">
        <v>0</v>
      </c>
      <c r="J26" s="883"/>
      <c r="K26" s="1520">
        <v>0</v>
      </c>
      <c r="L26" s="883"/>
      <c r="M26" s="1520">
        <v>0</v>
      </c>
      <c r="N26" s="883"/>
      <c r="O26" s="1520">
        <v>0</v>
      </c>
      <c r="P26" s="883"/>
      <c r="Q26" s="1520">
        <v>0</v>
      </c>
      <c r="R26" s="883"/>
      <c r="S26" s="1520">
        <v>0</v>
      </c>
      <c r="T26" s="1520"/>
      <c r="U26" s="1520">
        <v>0</v>
      </c>
      <c r="V26" s="883"/>
      <c r="W26" s="1520">
        <f t="shared" si="1"/>
        <v>0</v>
      </c>
      <c r="X26" s="883"/>
      <c r="Y26" s="1520"/>
      <c r="Z26" s="883"/>
      <c r="AA26" s="1520"/>
      <c r="AB26" s="883"/>
      <c r="AC26" s="1401"/>
      <c r="AD26" s="1520">
        <v>0</v>
      </c>
      <c r="AE26" s="3148"/>
      <c r="AF26" s="1012"/>
      <c r="AG26" s="1520">
        <v>0</v>
      </c>
      <c r="AH26" s="673"/>
      <c r="AI26" s="1070"/>
      <c r="AJ26" s="673">
        <f t="shared" si="0"/>
        <v>0</v>
      </c>
      <c r="AK26" s="1702"/>
      <c r="AL26" s="1704">
        <f t="shared" si="2"/>
        <v>0</v>
      </c>
    </row>
    <row r="27" spans="1:38" s="981" customFormat="1" ht="15.6">
      <c r="A27" s="982"/>
      <c r="B27" s="880" t="s">
        <v>930</v>
      </c>
      <c r="C27" s="982"/>
      <c r="D27" s="982"/>
      <c r="E27" s="1520">
        <v>0</v>
      </c>
      <c r="F27" s="883"/>
      <c r="G27" s="1520">
        <v>0</v>
      </c>
      <c r="H27" s="883"/>
      <c r="I27" s="1520">
        <v>0</v>
      </c>
      <c r="J27" s="883"/>
      <c r="K27" s="1520">
        <v>0</v>
      </c>
      <c r="L27" s="883"/>
      <c r="M27" s="1520">
        <v>0</v>
      </c>
      <c r="N27" s="883"/>
      <c r="O27" s="1520">
        <v>0</v>
      </c>
      <c r="P27" s="883"/>
      <c r="Q27" s="1520">
        <v>0</v>
      </c>
      <c r="R27" s="883"/>
      <c r="S27" s="1520">
        <v>0</v>
      </c>
      <c r="T27" s="1520"/>
      <c r="U27" s="1520">
        <v>0</v>
      </c>
      <c r="V27" s="883"/>
      <c r="W27" s="1520">
        <f t="shared" si="1"/>
        <v>0</v>
      </c>
      <c r="X27" s="883"/>
      <c r="Y27" s="1520"/>
      <c r="Z27" s="883"/>
      <c r="AA27" s="1520"/>
      <c r="AB27" s="883"/>
      <c r="AC27" s="1401"/>
      <c r="AD27" s="1520">
        <v>0</v>
      </c>
      <c r="AE27" s="3148"/>
      <c r="AF27" s="1012"/>
      <c r="AG27" s="1520">
        <v>0</v>
      </c>
      <c r="AH27" s="673"/>
      <c r="AI27" s="1070"/>
      <c r="AJ27" s="673">
        <f t="shared" si="0"/>
        <v>0</v>
      </c>
      <c r="AK27" s="1702"/>
      <c r="AL27" s="1704">
        <f t="shared" si="2"/>
        <v>0</v>
      </c>
    </row>
    <row r="28" spans="1:38" s="981" customFormat="1" ht="15.6">
      <c r="A28" s="982"/>
      <c r="B28" s="880" t="s">
        <v>931</v>
      </c>
      <c r="C28" s="982"/>
      <c r="D28" s="982"/>
      <c r="E28" s="1520">
        <v>0</v>
      </c>
      <c r="F28" s="883"/>
      <c r="G28" s="1520">
        <v>0</v>
      </c>
      <c r="H28" s="883"/>
      <c r="I28" s="1520">
        <v>0</v>
      </c>
      <c r="J28" s="883"/>
      <c r="K28" s="1520">
        <v>0</v>
      </c>
      <c r="L28" s="883"/>
      <c r="M28" s="1520">
        <v>0</v>
      </c>
      <c r="N28" s="883"/>
      <c r="O28" s="1520">
        <v>0</v>
      </c>
      <c r="P28" s="883"/>
      <c r="Q28" s="1520">
        <v>0</v>
      </c>
      <c r="R28" s="883"/>
      <c r="S28" s="1520">
        <v>0</v>
      </c>
      <c r="T28" s="1520"/>
      <c r="U28" s="1520">
        <v>0</v>
      </c>
      <c r="V28" s="883"/>
      <c r="W28" s="1520">
        <f t="shared" si="1"/>
        <v>0</v>
      </c>
      <c r="X28" s="883"/>
      <c r="Y28" s="1520"/>
      <c r="Z28" s="883"/>
      <c r="AA28" s="1520"/>
      <c r="AB28" s="883"/>
      <c r="AC28" s="1401"/>
      <c r="AD28" s="1520">
        <v>0</v>
      </c>
      <c r="AE28" s="3148"/>
      <c r="AF28" s="1012"/>
      <c r="AG28" s="1520">
        <v>0</v>
      </c>
      <c r="AH28" s="673"/>
      <c r="AI28" s="1070"/>
      <c r="AJ28" s="673">
        <f t="shared" si="0"/>
        <v>0</v>
      </c>
      <c r="AK28" s="1702"/>
      <c r="AL28" s="1704">
        <f t="shared" si="2"/>
        <v>0</v>
      </c>
    </row>
    <row r="29" spans="1:38" ht="15.6">
      <c r="A29" s="104"/>
      <c r="B29" s="880" t="s">
        <v>948</v>
      </c>
      <c r="C29" s="104"/>
      <c r="D29" s="104"/>
      <c r="E29" s="1520">
        <v>0</v>
      </c>
      <c r="F29" s="883"/>
      <c r="G29" s="1520">
        <v>0</v>
      </c>
      <c r="H29" s="883"/>
      <c r="I29" s="1520">
        <v>0</v>
      </c>
      <c r="J29" s="883"/>
      <c r="K29" s="1520">
        <v>0</v>
      </c>
      <c r="L29" s="883"/>
      <c r="M29" s="1520">
        <v>0</v>
      </c>
      <c r="N29" s="883"/>
      <c r="O29" s="1520">
        <v>0</v>
      </c>
      <c r="P29" s="883"/>
      <c r="Q29" s="1520">
        <v>0</v>
      </c>
      <c r="R29" s="883"/>
      <c r="S29" s="1520">
        <v>0</v>
      </c>
      <c r="T29" s="1520"/>
      <c r="U29" s="1520">
        <v>0</v>
      </c>
      <c r="V29" s="883"/>
      <c r="W29" s="1520">
        <f t="shared" si="1"/>
        <v>0</v>
      </c>
      <c r="X29" s="883"/>
      <c r="Y29" s="1520"/>
      <c r="Z29" s="883"/>
      <c r="AA29" s="1520"/>
      <c r="AB29" s="883"/>
      <c r="AC29" s="1401"/>
      <c r="AD29" s="1520">
        <v>0</v>
      </c>
      <c r="AE29" s="3148"/>
      <c r="AF29" s="1012"/>
      <c r="AG29" s="1520">
        <v>0</v>
      </c>
      <c r="AH29" s="116"/>
      <c r="AI29" s="1070"/>
      <c r="AJ29" s="116">
        <f>ROUND(AD29-AG29,1)</f>
        <v>0</v>
      </c>
      <c r="AK29" s="1071"/>
      <c r="AL29" s="1629">
        <f>ROUND(IF(AG29=0,0,AJ29/ABS(AG29)),3)</f>
        <v>0</v>
      </c>
    </row>
    <row r="30" spans="1:38" s="981" customFormat="1" ht="15.6">
      <c r="A30" s="982"/>
      <c r="B30" s="880" t="s">
        <v>1047</v>
      </c>
      <c r="C30" s="982"/>
      <c r="D30" s="982"/>
      <c r="E30" s="1520" t="s">
        <v>14</v>
      </c>
      <c r="F30" s="883"/>
      <c r="G30" s="1520"/>
      <c r="H30" s="883"/>
      <c r="I30" s="1520"/>
      <c r="J30" s="883"/>
      <c r="K30" s="1520"/>
      <c r="L30" s="883"/>
      <c r="M30" s="1520"/>
      <c r="N30" s="883"/>
      <c r="O30" s="1520"/>
      <c r="P30" s="883"/>
      <c r="Q30" s="1520"/>
      <c r="R30" s="883"/>
      <c r="S30" s="1520"/>
      <c r="T30" s="883"/>
      <c r="U30" s="1520"/>
      <c r="V30" s="883"/>
      <c r="W30" s="1520"/>
      <c r="X30" s="883"/>
      <c r="Y30" s="1520"/>
      <c r="Z30" s="883"/>
      <c r="AA30" s="1520"/>
      <c r="AB30" s="883"/>
      <c r="AC30" s="1401"/>
      <c r="AD30" s="883"/>
      <c r="AE30" s="3148"/>
      <c r="AF30" s="1012"/>
      <c r="AG30" s="883"/>
      <c r="AH30" s="673"/>
      <c r="AI30" s="1070"/>
      <c r="AJ30" s="673" t="s">
        <v>14</v>
      </c>
      <c r="AK30" s="1702"/>
      <c r="AL30" s="1704" t="s">
        <v>14</v>
      </c>
    </row>
    <row r="31" spans="1:38" s="981" customFormat="1" ht="15.6">
      <c r="A31" s="982"/>
      <c r="B31" s="880" t="s">
        <v>974</v>
      </c>
      <c r="C31" s="982"/>
      <c r="D31" s="982"/>
      <c r="E31" s="1520">
        <v>0</v>
      </c>
      <c r="F31" s="883"/>
      <c r="G31" s="1520">
        <v>0</v>
      </c>
      <c r="H31" s="883"/>
      <c r="I31" s="1520">
        <v>0</v>
      </c>
      <c r="J31" s="883"/>
      <c r="K31" s="1520">
        <v>0</v>
      </c>
      <c r="L31" s="883"/>
      <c r="M31" s="1520">
        <v>0</v>
      </c>
      <c r="N31" s="883"/>
      <c r="O31" s="1520">
        <v>0</v>
      </c>
      <c r="P31" s="883"/>
      <c r="Q31" s="1520">
        <v>0</v>
      </c>
      <c r="R31" s="883"/>
      <c r="S31" s="1520">
        <v>0</v>
      </c>
      <c r="T31" s="1520"/>
      <c r="U31" s="1520">
        <v>0</v>
      </c>
      <c r="V31" s="883"/>
      <c r="W31" s="1520">
        <f t="shared" si="1"/>
        <v>0</v>
      </c>
      <c r="X31" s="883"/>
      <c r="Y31" s="1520"/>
      <c r="Z31" s="883"/>
      <c r="AA31" s="1520"/>
      <c r="AB31" s="883"/>
      <c r="AC31" s="1401"/>
      <c r="AD31" s="1520">
        <v>0</v>
      </c>
      <c r="AE31" s="3148"/>
      <c r="AF31" s="1012"/>
      <c r="AG31" s="1520">
        <v>0</v>
      </c>
      <c r="AH31" s="673"/>
      <c r="AI31" s="1070"/>
      <c r="AJ31" s="673">
        <f t="shared" si="0"/>
        <v>0</v>
      </c>
      <c r="AK31" s="1702"/>
      <c r="AL31" s="1704">
        <f>ROUND(IF(AG31=0,0,AJ31/ABS(AG31)),3)</f>
        <v>0</v>
      </c>
    </row>
    <row r="32" spans="1:38" s="981" customFormat="1" ht="15.6">
      <c r="A32" s="982"/>
      <c r="B32" s="880" t="s">
        <v>976</v>
      </c>
      <c r="C32" s="982"/>
      <c r="D32" s="982"/>
      <c r="E32" s="1520">
        <v>0</v>
      </c>
      <c r="F32" s="1520"/>
      <c r="G32" s="1520">
        <v>0</v>
      </c>
      <c r="H32" s="1520"/>
      <c r="I32" s="1520">
        <v>0</v>
      </c>
      <c r="J32" s="1520"/>
      <c r="K32" s="1520">
        <v>0</v>
      </c>
      <c r="L32" s="1520"/>
      <c r="M32" s="1520">
        <v>0</v>
      </c>
      <c r="N32" s="883"/>
      <c r="O32" s="1520">
        <v>0</v>
      </c>
      <c r="P32" s="883"/>
      <c r="Q32" s="1520">
        <v>0</v>
      </c>
      <c r="R32" s="883"/>
      <c r="S32" s="1520">
        <v>0</v>
      </c>
      <c r="T32" s="1520"/>
      <c r="U32" s="1520">
        <v>0</v>
      </c>
      <c r="V32" s="883"/>
      <c r="W32" s="1520">
        <f t="shared" si="1"/>
        <v>0</v>
      </c>
      <c r="X32" s="883"/>
      <c r="Y32" s="1520"/>
      <c r="Z32" s="883"/>
      <c r="AA32" s="1520"/>
      <c r="AB32" s="883"/>
      <c r="AC32" s="1401"/>
      <c r="AD32" s="1520">
        <v>0</v>
      </c>
      <c r="AE32" s="3148"/>
      <c r="AF32" s="1012"/>
      <c r="AG32" s="1520">
        <v>0</v>
      </c>
      <c r="AH32" s="673"/>
      <c r="AI32" s="1070"/>
      <c r="AJ32" s="673">
        <f t="shared" si="0"/>
        <v>0</v>
      </c>
      <c r="AK32" s="1702"/>
      <c r="AL32" s="1704">
        <f>ROUND(IF(AG32=0,0,AJ32/ABS(AG32)),3)</f>
        <v>0</v>
      </c>
    </row>
    <row r="33" spans="1:39" s="981" customFormat="1" ht="15.6">
      <c r="A33" s="982"/>
      <c r="B33" s="880" t="s">
        <v>977</v>
      </c>
      <c r="C33" s="982"/>
      <c r="D33" s="982"/>
      <c r="E33" s="1520">
        <v>0</v>
      </c>
      <c r="F33" s="883"/>
      <c r="G33" s="1520">
        <v>0</v>
      </c>
      <c r="H33" s="883"/>
      <c r="I33" s="1520">
        <v>0</v>
      </c>
      <c r="J33" s="883"/>
      <c r="K33" s="1520">
        <v>0</v>
      </c>
      <c r="L33" s="883"/>
      <c r="M33" s="1520">
        <v>0</v>
      </c>
      <c r="N33" s="883"/>
      <c r="O33" s="1520">
        <v>0</v>
      </c>
      <c r="P33" s="883"/>
      <c r="Q33" s="1520">
        <v>0</v>
      </c>
      <c r="R33" s="883"/>
      <c r="S33" s="1520">
        <v>0</v>
      </c>
      <c r="T33" s="1520"/>
      <c r="U33" s="1520">
        <v>0</v>
      </c>
      <c r="V33" s="883"/>
      <c r="W33" s="1520">
        <f t="shared" si="1"/>
        <v>0</v>
      </c>
      <c r="X33" s="883"/>
      <c r="Y33" s="1520"/>
      <c r="Z33" s="883"/>
      <c r="AA33" s="1520"/>
      <c r="AB33" s="883"/>
      <c r="AC33" s="1401"/>
      <c r="AD33" s="1520">
        <v>0</v>
      </c>
      <c r="AE33" s="3148"/>
      <c r="AF33" s="1012"/>
      <c r="AG33" s="1520">
        <v>0</v>
      </c>
      <c r="AH33" s="673"/>
      <c r="AI33" s="1070"/>
      <c r="AJ33" s="673">
        <f>ROUND(AD33-AG33,1)</f>
        <v>0</v>
      </c>
      <c r="AK33" s="1702"/>
      <c r="AL33" s="1704">
        <f>ROUND(IF(AG33=0,0,AJ33/ABS(AG33)),3)</f>
        <v>0</v>
      </c>
    </row>
    <row r="34" spans="1:39" ht="15.6">
      <c r="A34" s="104"/>
      <c r="B34" s="880" t="s">
        <v>949</v>
      </c>
      <c r="C34" s="104"/>
      <c r="D34" s="104"/>
      <c r="E34" s="1520">
        <v>0</v>
      </c>
      <c r="F34" s="883"/>
      <c r="G34" s="1520">
        <v>0</v>
      </c>
      <c r="H34" s="883"/>
      <c r="I34" s="1520">
        <v>0</v>
      </c>
      <c r="J34" s="883"/>
      <c r="K34" s="1520">
        <v>0</v>
      </c>
      <c r="L34" s="883"/>
      <c r="M34" s="1520">
        <v>0</v>
      </c>
      <c r="N34" s="883"/>
      <c r="O34" s="1520">
        <v>0</v>
      </c>
      <c r="P34" s="883"/>
      <c r="Q34" s="1520">
        <v>0</v>
      </c>
      <c r="R34" s="883"/>
      <c r="S34" s="1520">
        <v>0</v>
      </c>
      <c r="T34" s="1520"/>
      <c r="U34" s="1520">
        <v>0</v>
      </c>
      <c r="V34" s="883"/>
      <c r="W34" s="1520">
        <f t="shared" si="1"/>
        <v>0</v>
      </c>
      <c r="X34" s="883"/>
      <c r="Y34" s="1520"/>
      <c r="Z34" s="883"/>
      <c r="AA34" s="1520"/>
      <c r="AB34" s="883"/>
      <c r="AC34" s="1401"/>
      <c r="AD34" s="1520">
        <v>0</v>
      </c>
      <c r="AE34" s="3148"/>
      <c r="AF34" s="1012"/>
      <c r="AG34" s="1520">
        <v>0.7</v>
      </c>
      <c r="AH34" s="116"/>
      <c r="AI34" s="1070"/>
      <c r="AJ34" s="116">
        <f t="shared" si="0"/>
        <v>-0.7</v>
      </c>
      <c r="AK34" s="1071"/>
      <c r="AL34" s="1629">
        <f>ROUND(IF(AG34=0,1,AJ34/ABS(AG34)),3)</f>
        <v>-1</v>
      </c>
    </row>
    <row r="35" spans="1:39" ht="15.6">
      <c r="A35" s="104"/>
      <c r="B35" s="880" t="s">
        <v>1048</v>
      </c>
      <c r="C35" s="104"/>
      <c r="D35" s="104"/>
      <c r="E35" s="1520" t="s">
        <v>14</v>
      </c>
      <c r="F35" s="883"/>
      <c r="G35" s="1520"/>
      <c r="H35" s="883"/>
      <c r="I35" s="1520"/>
      <c r="J35" s="883"/>
      <c r="K35" s="1520"/>
      <c r="L35" s="883"/>
      <c r="M35" s="1520"/>
      <c r="N35" s="115"/>
      <c r="O35" s="1520"/>
      <c r="P35" s="115"/>
      <c r="Q35" s="1520"/>
      <c r="R35" s="115"/>
      <c r="S35" s="1520"/>
      <c r="T35" s="115"/>
      <c r="U35" s="1520"/>
      <c r="V35" s="115"/>
      <c r="W35" s="1520"/>
      <c r="X35" s="115"/>
      <c r="Y35" s="1520"/>
      <c r="Z35" s="115"/>
      <c r="AA35" s="1520"/>
      <c r="AB35" s="115"/>
      <c r="AC35" s="668"/>
      <c r="AD35" s="115"/>
      <c r="AE35" s="1073"/>
      <c r="AF35" s="64"/>
      <c r="AG35" s="115"/>
      <c r="AH35" s="116"/>
      <c r="AI35" s="1070"/>
      <c r="AJ35" s="673" t="s">
        <v>14</v>
      </c>
      <c r="AK35" s="1071"/>
      <c r="AL35" s="1704" t="s">
        <v>14</v>
      </c>
    </row>
    <row r="36" spans="1:39" ht="15.6">
      <c r="A36" s="104"/>
      <c r="B36" s="880" t="s">
        <v>978</v>
      </c>
      <c r="C36" s="104"/>
      <c r="D36" s="104"/>
      <c r="E36" s="1520">
        <v>0</v>
      </c>
      <c r="F36" s="883"/>
      <c r="G36" s="1520">
        <v>0</v>
      </c>
      <c r="H36" s="883"/>
      <c r="I36" s="1520">
        <v>0</v>
      </c>
      <c r="J36" s="883"/>
      <c r="K36" s="1520">
        <v>0</v>
      </c>
      <c r="L36" s="883"/>
      <c r="M36" s="1520">
        <v>0</v>
      </c>
      <c r="N36" s="883"/>
      <c r="O36" s="1520">
        <v>0</v>
      </c>
      <c r="P36" s="883"/>
      <c r="Q36" s="1520">
        <v>0</v>
      </c>
      <c r="R36" s="883"/>
      <c r="S36" s="1520">
        <v>0</v>
      </c>
      <c r="T36" s="1520"/>
      <c r="U36" s="1520">
        <v>0</v>
      </c>
      <c r="V36" s="883"/>
      <c r="W36" s="1520">
        <f t="shared" si="1"/>
        <v>0</v>
      </c>
      <c r="X36" s="883"/>
      <c r="Y36" s="1520"/>
      <c r="Z36" s="883"/>
      <c r="AA36" s="1520"/>
      <c r="AB36" s="883"/>
      <c r="AC36" s="1401"/>
      <c r="AD36" s="1520">
        <v>0</v>
      </c>
      <c r="AE36" s="3148"/>
      <c r="AF36" s="1012"/>
      <c r="AG36" s="1520">
        <v>0</v>
      </c>
      <c r="AH36" s="116"/>
      <c r="AI36" s="1070"/>
      <c r="AJ36" s="116">
        <f t="shared" si="0"/>
        <v>0</v>
      </c>
      <c r="AK36" s="1071"/>
      <c r="AL36" s="1706">
        <f t="shared" ref="AL36:AL42" si="3">ROUND(IF(AG36=0,0,AJ36/ABS(AG36)),3)</f>
        <v>0</v>
      </c>
    </row>
    <row r="37" spans="1:39" ht="15.6">
      <c r="A37" s="104"/>
      <c r="B37" s="880" t="s">
        <v>980</v>
      </c>
      <c r="C37" s="104"/>
      <c r="D37" s="104"/>
      <c r="E37" s="1520">
        <v>0</v>
      </c>
      <c r="F37" s="883"/>
      <c r="G37" s="1520">
        <v>0</v>
      </c>
      <c r="H37" s="883"/>
      <c r="I37" s="1520">
        <v>0</v>
      </c>
      <c r="J37" s="883"/>
      <c r="K37" s="1520">
        <v>0</v>
      </c>
      <c r="L37" s="883"/>
      <c r="M37" s="1520">
        <v>0</v>
      </c>
      <c r="N37" s="883"/>
      <c r="O37" s="1520">
        <v>0</v>
      </c>
      <c r="P37" s="883"/>
      <c r="Q37" s="1520">
        <v>0</v>
      </c>
      <c r="R37" s="883"/>
      <c r="S37" s="1520">
        <v>0</v>
      </c>
      <c r="T37" s="1520"/>
      <c r="U37" s="1520">
        <v>0</v>
      </c>
      <c r="V37" s="883"/>
      <c r="W37" s="1520">
        <f t="shared" si="1"/>
        <v>0</v>
      </c>
      <c r="X37" s="883"/>
      <c r="Y37" s="1520"/>
      <c r="Z37" s="883"/>
      <c r="AA37" s="1520"/>
      <c r="AB37" s="883"/>
      <c r="AC37" s="1401"/>
      <c r="AD37" s="1520">
        <v>0</v>
      </c>
      <c r="AE37" s="3148"/>
      <c r="AF37" s="1012"/>
      <c r="AG37" s="1520">
        <v>0</v>
      </c>
      <c r="AH37" s="116"/>
      <c r="AI37" s="1070"/>
      <c r="AJ37" s="116">
        <f t="shared" si="0"/>
        <v>0</v>
      </c>
      <c r="AK37" s="1071"/>
      <c r="AL37" s="1706">
        <f t="shared" si="3"/>
        <v>0</v>
      </c>
    </row>
    <row r="38" spans="1:39" ht="15.6">
      <c r="A38" s="104"/>
      <c r="B38" s="880" t="s">
        <v>981</v>
      </c>
      <c r="C38" s="104"/>
      <c r="D38" s="104"/>
      <c r="E38" s="1520">
        <v>0</v>
      </c>
      <c r="F38" s="883"/>
      <c r="G38" s="1520">
        <v>0</v>
      </c>
      <c r="H38" s="883"/>
      <c r="I38" s="1520">
        <v>0</v>
      </c>
      <c r="J38" s="883"/>
      <c r="K38" s="1520">
        <v>0</v>
      </c>
      <c r="L38" s="883"/>
      <c r="M38" s="1520">
        <v>0</v>
      </c>
      <c r="N38" s="883"/>
      <c r="O38" s="1520">
        <v>-0.1</v>
      </c>
      <c r="P38" s="883"/>
      <c r="Q38" s="1520">
        <v>0</v>
      </c>
      <c r="R38" s="883"/>
      <c r="S38" s="1520">
        <v>-0.19999999999999998</v>
      </c>
      <c r="T38" s="1520"/>
      <c r="U38" s="1520">
        <v>-0.10000000000000006</v>
      </c>
      <c r="V38" s="883"/>
      <c r="W38" s="1520">
        <f>$AD38-$E38-$G38-$I38-$K38-$M38-$O38-$Q38-U38-S38</f>
        <v>0.10000000000000006</v>
      </c>
      <c r="X38" s="883"/>
      <c r="Y38" s="1520"/>
      <c r="Z38" s="883"/>
      <c r="AA38" s="1520"/>
      <c r="AB38" s="883"/>
      <c r="AC38" s="1401"/>
      <c r="AD38" s="1520">
        <v>-0.3</v>
      </c>
      <c r="AE38" s="3148"/>
      <c r="AF38" s="1012"/>
      <c r="AG38" s="1520">
        <v>0</v>
      </c>
      <c r="AH38" s="116"/>
      <c r="AI38" s="1070"/>
      <c r="AJ38" s="116">
        <f t="shared" si="0"/>
        <v>-0.3</v>
      </c>
      <c r="AK38" s="1071"/>
      <c r="AL38" s="1706">
        <f>-ROUND(IF(AG38=0,1,AJ38/ABS(AG38)),3)</f>
        <v>-1</v>
      </c>
    </row>
    <row r="39" spans="1:39" ht="15.6">
      <c r="A39" s="104"/>
      <c r="B39" s="880" t="s">
        <v>984</v>
      </c>
      <c r="C39" s="104"/>
      <c r="D39" s="104"/>
      <c r="E39" s="1520">
        <v>0</v>
      </c>
      <c r="F39" s="883"/>
      <c r="G39" s="1520">
        <v>0</v>
      </c>
      <c r="H39" s="883"/>
      <c r="I39" s="1520">
        <v>0</v>
      </c>
      <c r="J39" s="883"/>
      <c r="K39" s="1520">
        <v>0</v>
      </c>
      <c r="L39" s="883"/>
      <c r="M39" s="1520">
        <v>0</v>
      </c>
      <c r="N39" s="883"/>
      <c r="O39" s="1520">
        <v>0</v>
      </c>
      <c r="P39" s="883"/>
      <c r="Q39" s="1520">
        <v>0</v>
      </c>
      <c r="R39" s="883"/>
      <c r="S39" s="1520">
        <v>0</v>
      </c>
      <c r="T39" s="1520"/>
      <c r="U39" s="1520">
        <v>0</v>
      </c>
      <c r="V39" s="883"/>
      <c r="W39" s="1520">
        <f t="shared" si="1"/>
        <v>0</v>
      </c>
      <c r="X39" s="883"/>
      <c r="Y39" s="1520"/>
      <c r="Z39" s="883"/>
      <c r="AA39" s="1520"/>
      <c r="AB39" s="883"/>
      <c r="AC39" s="1401"/>
      <c r="AD39" s="1520">
        <v>0</v>
      </c>
      <c r="AE39" s="3148"/>
      <c r="AF39" s="1012"/>
      <c r="AG39" s="1520">
        <v>0</v>
      </c>
      <c r="AH39" s="116"/>
      <c r="AI39" s="1070"/>
      <c r="AJ39" s="116">
        <f t="shared" si="0"/>
        <v>0</v>
      </c>
      <c r="AK39" s="1071"/>
      <c r="AL39" s="1706">
        <f t="shared" si="3"/>
        <v>0</v>
      </c>
    </row>
    <row r="40" spans="1:39" ht="15.6">
      <c r="A40" s="104"/>
      <c r="B40" s="880" t="s">
        <v>986</v>
      </c>
      <c r="C40" s="104"/>
      <c r="D40" s="104"/>
      <c r="E40" s="1520">
        <v>0</v>
      </c>
      <c r="F40" s="883"/>
      <c r="G40" s="1520">
        <v>0</v>
      </c>
      <c r="H40" s="883"/>
      <c r="I40" s="1520">
        <v>0</v>
      </c>
      <c r="J40" s="883"/>
      <c r="K40" s="1520">
        <v>0</v>
      </c>
      <c r="L40" s="883"/>
      <c r="M40" s="1520">
        <v>0</v>
      </c>
      <c r="N40" s="883"/>
      <c r="O40" s="1520">
        <v>0</v>
      </c>
      <c r="P40" s="883"/>
      <c r="Q40" s="1520">
        <v>0</v>
      </c>
      <c r="R40" s="883"/>
      <c r="S40" s="1520">
        <v>0</v>
      </c>
      <c r="T40" s="1520"/>
      <c r="U40" s="1520">
        <v>0</v>
      </c>
      <c r="V40" s="883"/>
      <c r="W40" s="1520">
        <f t="shared" si="1"/>
        <v>0</v>
      </c>
      <c r="X40" s="883"/>
      <c r="Y40" s="1520"/>
      <c r="Z40" s="883"/>
      <c r="AA40" s="1520"/>
      <c r="AB40" s="883"/>
      <c r="AC40" s="1401"/>
      <c r="AD40" s="1520">
        <v>0</v>
      </c>
      <c r="AE40" s="3148"/>
      <c r="AF40" s="1012"/>
      <c r="AG40" s="1520">
        <v>0</v>
      </c>
      <c r="AH40" s="116"/>
      <c r="AI40" s="1070"/>
      <c r="AJ40" s="116">
        <f t="shared" si="0"/>
        <v>0</v>
      </c>
      <c r="AK40" s="1071"/>
      <c r="AL40" s="1706">
        <f t="shared" si="3"/>
        <v>0</v>
      </c>
    </row>
    <row r="41" spans="1:39" ht="15.6">
      <c r="A41" s="104"/>
      <c r="B41" s="880" t="s">
        <v>959</v>
      </c>
      <c r="C41" s="104"/>
      <c r="D41" s="104"/>
      <c r="E41" s="1520">
        <v>0</v>
      </c>
      <c r="F41" s="883"/>
      <c r="G41" s="1520">
        <v>0</v>
      </c>
      <c r="H41" s="883"/>
      <c r="I41" s="1520">
        <v>0</v>
      </c>
      <c r="J41" s="883"/>
      <c r="K41" s="1520">
        <v>0</v>
      </c>
      <c r="L41" s="883"/>
      <c r="M41" s="1520">
        <v>0</v>
      </c>
      <c r="N41" s="1516"/>
      <c r="O41" s="1520">
        <v>0</v>
      </c>
      <c r="P41" s="1516"/>
      <c r="Q41" s="1520">
        <v>0</v>
      </c>
      <c r="R41" s="1516"/>
      <c r="S41" s="1520">
        <v>0</v>
      </c>
      <c r="T41" s="1516"/>
      <c r="U41" s="1520">
        <v>0</v>
      </c>
      <c r="V41" s="1516"/>
      <c r="W41" s="1520">
        <f t="shared" si="1"/>
        <v>0</v>
      </c>
      <c r="X41" s="1516"/>
      <c r="Y41" s="1520"/>
      <c r="Z41" s="1516"/>
      <c r="AA41" s="1520"/>
      <c r="AB41" s="115"/>
      <c r="AC41" s="668"/>
      <c r="AD41" s="1768">
        <v>0</v>
      </c>
      <c r="AE41" s="3133"/>
      <c r="AF41" s="1956"/>
      <c r="AG41" s="1785">
        <v>0.1</v>
      </c>
      <c r="AH41" s="116"/>
      <c r="AI41" s="1070"/>
      <c r="AJ41" s="116">
        <f t="shared" si="0"/>
        <v>-0.1</v>
      </c>
      <c r="AK41" s="1071"/>
      <c r="AL41" s="1703">
        <f>ROUND(IF(AG41=0,0,AJ41/ABS(AG41)),3)</f>
        <v>-1</v>
      </c>
    </row>
    <row r="42" spans="1:39" s="3628" customFormat="1" ht="15.6" collapsed="1">
      <c r="A42" s="102"/>
      <c r="B42" s="307" t="s">
        <v>993</v>
      </c>
      <c r="C42" s="102"/>
      <c r="D42" s="102"/>
      <c r="E42" s="1519">
        <f>ROUND(SUM(E19:E41),1)</f>
        <v>0</v>
      </c>
      <c r="F42" s="109"/>
      <c r="G42" s="1519">
        <f>ROUND(SUM(G19:G41),1)</f>
        <v>0</v>
      </c>
      <c r="H42" s="1083"/>
      <c r="I42" s="1519">
        <f>ROUND(SUM(I19:I41),1)</f>
        <v>0</v>
      </c>
      <c r="J42" s="109"/>
      <c r="K42" s="1519">
        <f>ROUND(SUM(K19:K41),1)</f>
        <v>0</v>
      </c>
      <c r="L42" s="109"/>
      <c r="M42" s="1519">
        <f>ROUND(SUM(M19:M41),1)</f>
        <v>0</v>
      </c>
      <c r="N42" s="109"/>
      <c r="O42" s="1519">
        <f>ROUND(SUM(O19:O41),1)</f>
        <v>-0.1</v>
      </c>
      <c r="P42" s="109"/>
      <c r="Q42" s="1519">
        <f>ROUND(SUM(Q19:Q41),1)</f>
        <v>0</v>
      </c>
      <c r="R42" s="109"/>
      <c r="S42" s="1519">
        <f>ROUND(SUM(S19:S41),1)</f>
        <v>-0.2</v>
      </c>
      <c r="T42" s="109"/>
      <c r="U42" s="1519">
        <f>ROUND(SUM(U19:U41),1)</f>
        <v>-0.1</v>
      </c>
      <c r="V42" s="109"/>
      <c r="W42" s="1519">
        <f>ROUND(SUM(W19:W41),1)</f>
        <v>0.1</v>
      </c>
      <c r="X42" s="109"/>
      <c r="Y42" s="1519">
        <f>ROUND(SUM(Y19:Y41),1)</f>
        <v>0</v>
      </c>
      <c r="Z42" s="109"/>
      <c r="AA42" s="1519">
        <f>ROUND(SUM(AA19:AA41),1)</f>
        <v>0</v>
      </c>
      <c r="AB42" s="109"/>
      <c r="AC42" s="669"/>
      <c r="AD42" s="1519">
        <f>ROUND(SUM(AD19:AD41),1)</f>
        <v>-0.3</v>
      </c>
      <c r="AE42" s="1074"/>
      <c r="AF42" s="112"/>
      <c r="AG42" s="1519">
        <f>ROUND(SUM(AG19:AG41),1)</f>
        <v>0.8</v>
      </c>
      <c r="AH42" s="1093"/>
      <c r="AI42" s="1070"/>
      <c r="AJ42" s="1519">
        <f>ROUND(SUM(AJ19:AJ41),1)</f>
        <v>-1.1000000000000001</v>
      </c>
      <c r="AK42" s="3627"/>
      <c r="AL42" s="3270">
        <f t="shared" si="3"/>
        <v>-1.375</v>
      </c>
    </row>
    <row r="43" spans="1:39" s="3152" customFormat="1" ht="15.6">
      <c r="A43" s="115"/>
      <c r="B43" s="3629"/>
      <c r="C43" s="115"/>
      <c r="D43" s="115"/>
      <c r="E43" s="1520"/>
      <c r="F43" s="883"/>
      <c r="G43" s="1110"/>
      <c r="H43" s="883"/>
      <c r="I43" s="1520"/>
      <c r="J43" s="883"/>
      <c r="K43" s="1110"/>
      <c r="L43" s="115"/>
      <c r="M43" s="1068"/>
      <c r="N43" s="115"/>
      <c r="O43" s="666"/>
      <c r="P43" s="115"/>
      <c r="Q43" s="1068"/>
      <c r="R43" s="115"/>
      <c r="S43" s="666"/>
      <c r="T43" s="115"/>
      <c r="U43" s="666"/>
      <c r="V43" s="115"/>
      <c r="W43" s="1068"/>
      <c r="X43" s="115"/>
      <c r="Y43" s="1068"/>
      <c r="Z43" s="115"/>
      <c r="AA43" s="1068"/>
      <c r="AB43" s="115"/>
      <c r="AC43" s="668"/>
      <c r="AD43" s="1068"/>
      <c r="AE43" s="1069"/>
      <c r="AF43" s="668"/>
      <c r="AG43" s="1068"/>
      <c r="AH43" s="116"/>
      <c r="AI43" s="1070"/>
      <c r="AJ43" s="355"/>
      <c r="AK43" s="355"/>
      <c r="AL43" s="1072"/>
      <c r="AM43" s="355"/>
    </row>
    <row r="44" spans="1:39" ht="15.6">
      <c r="A44" s="104"/>
      <c r="B44" s="104" t="s">
        <v>148</v>
      </c>
      <c r="C44" s="104"/>
      <c r="D44" s="104"/>
      <c r="E44" s="3824">
        <v>5.6</v>
      </c>
      <c r="F44" s="883"/>
      <c r="G44" s="1520">
        <v>23.299999999999997</v>
      </c>
      <c r="H44" s="883"/>
      <c r="I44" s="1520">
        <v>110.10000000000001</v>
      </c>
      <c r="J44" s="883"/>
      <c r="K44" s="1520">
        <v>140.89999999999992</v>
      </c>
      <c r="L44" s="883"/>
      <c r="M44" s="1520">
        <v>167.20000000000005</v>
      </c>
      <c r="N44" s="883"/>
      <c r="O44" s="1520">
        <v>125.09999999999997</v>
      </c>
      <c r="P44" s="883"/>
      <c r="Q44" s="1520">
        <v>137.40000000000009</v>
      </c>
      <c r="R44" s="883"/>
      <c r="S44" s="1520">
        <v>313.60000000000008</v>
      </c>
      <c r="T44" s="1520"/>
      <c r="U44" s="1520">
        <v>351.30000000000024</v>
      </c>
      <c r="V44" s="883"/>
      <c r="W44" s="1520">
        <f t="shared" ref="W44" si="4">$AD44-$E44-$G44-$I44-$K44-$M44-$O44-$Q44-U44-S44</f>
        <v>177.79999999999995</v>
      </c>
      <c r="X44" s="883"/>
      <c r="Y44" s="1520"/>
      <c r="Z44" s="883"/>
      <c r="AA44" s="1520"/>
      <c r="AB44" s="883"/>
      <c r="AC44" s="1401"/>
      <c r="AD44" s="1520">
        <v>1552.3</v>
      </c>
      <c r="AE44" s="3148"/>
      <c r="AF44" s="1012"/>
      <c r="AG44" s="1520">
        <v>1670.9</v>
      </c>
      <c r="AH44" s="116"/>
      <c r="AI44" s="1092"/>
      <c r="AJ44" s="1100">
        <f>ROUND(AD44-AG44,1)</f>
        <v>-118.6</v>
      </c>
      <c r="AK44" s="1071"/>
      <c r="AL44" s="1707">
        <f>ROUND(IF(AG44=0,0,AJ44/ABS(AG44)),3)</f>
        <v>-7.0999999999999994E-2</v>
      </c>
    </row>
    <row r="45" spans="1:39" ht="15.6">
      <c r="A45" s="104"/>
      <c r="B45" s="104"/>
      <c r="C45" s="104"/>
      <c r="D45" s="104"/>
      <c r="E45" s="1030"/>
      <c r="F45" s="883"/>
      <c r="G45" s="1030"/>
      <c r="H45" s="883"/>
      <c r="I45" s="1030"/>
      <c r="J45" s="883"/>
      <c r="K45" s="1030"/>
      <c r="L45" s="115"/>
      <c r="M45" s="123"/>
      <c r="N45" s="115"/>
      <c r="O45" s="123"/>
      <c r="P45" s="115"/>
      <c r="Q45" s="123"/>
      <c r="R45" s="115"/>
      <c r="S45" s="123"/>
      <c r="T45" s="115"/>
      <c r="U45" s="123"/>
      <c r="V45" s="115"/>
      <c r="W45" s="123"/>
      <c r="X45" s="115"/>
      <c r="Y45" s="123"/>
      <c r="Z45" s="115"/>
      <c r="AA45" s="123"/>
      <c r="AB45" s="115"/>
      <c r="AC45" s="668"/>
      <c r="AD45" s="123"/>
      <c r="AE45" s="1069"/>
      <c r="AF45" s="668"/>
      <c r="AG45" s="123"/>
      <c r="AH45" s="64"/>
      <c r="AI45" s="1092"/>
      <c r="AJ45" s="355"/>
      <c r="AK45" s="1090"/>
      <c r="AL45" s="1072"/>
    </row>
    <row r="46" spans="1:39" ht="15.6">
      <c r="A46" s="104"/>
      <c r="B46" s="102" t="s">
        <v>195</v>
      </c>
      <c r="C46" s="104"/>
      <c r="D46" s="104"/>
      <c r="E46" s="109">
        <f>ROUND(SUM(E42+E44),1)</f>
        <v>5.6</v>
      </c>
      <c r="F46" s="109"/>
      <c r="G46" s="109">
        <f>ROUND(SUM(G42+G44),1)</f>
        <v>23.3</v>
      </c>
      <c r="H46" s="109"/>
      <c r="I46" s="109">
        <f>ROUND(SUM(I42+I44),1)</f>
        <v>110.1</v>
      </c>
      <c r="J46" s="109"/>
      <c r="K46" s="109">
        <f>ROUND(SUM(K42+K44),1)</f>
        <v>140.9</v>
      </c>
      <c r="L46" s="109"/>
      <c r="M46" s="109">
        <f>ROUND(SUM(M42+M44),1)</f>
        <v>167.2</v>
      </c>
      <c r="N46" s="109"/>
      <c r="O46" s="109">
        <f>ROUND(SUM(O42+O44),1)</f>
        <v>125</v>
      </c>
      <c r="P46" s="109"/>
      <c r="Q46" s="109">
        <f>ROUND(SUM(Q42+Q44),1)</f>
        <v>137.4</v>
      </c>
      <c r="R46" s="109"/>
      <c r="S46" s="109">
        <f>ROUND(SUM(S42+S44),1)</f>
        <v>313.39999999999998</v>
      </c>
      <c r="T46" s="109"/>
      <c r="U46" s="109">
        <f>ROUND(SUM(U42+U44),1)</f>
        <v>351.2</v>
      </c>
      <c r="V46" s="109"/>
      <c r="W46" s="109">
        <f>ROUND(SUM(W42+W44),1)</f>
        <v>177.9</v>
      </c>
      <c r="X46" s="109"/>
      <c r="Y46" s="109">
        <f>ROUND(SUM(Y42+Y44),1)</f>
        <v>0</v>
      </c>
      <c r="Z46" s="109"/>
      <c r="AA46" s="109">
        <f>ROUND(SUM(AA42+AA44),1)</f>
        <v>0</v>
      </c>
      <c r="AB46" s="109"/>
      <c r="AC46" s="669"/>
      <c r="AD46" s="109">
        <f>ROUND(SUM(AD42+AD44),1)</f>
        <v>1552</v>
      </c>
      <c r="AE46" s="1074"/>
      <c r="AF46" s="669"/>
      <c r="AG46" s="109">
        <f>ROUND(SUM(AG42+AG44),1)</f>
        <v>1671.7</v>
      </c>
      <c r="AH46" s="1093"/>
      <c r="AI46" s="1092"/>
      <c r="AJ46" s="1095">
        <f>ROUND(SUM(AJ42+AJ44),1)</f>
        <v>-119.7</v>
      </c>
      <c r="AK46" s="1105"/>
      <c r="AL46" s="3630">
        <f>ROUND(SUM(AD46-AG46)/ABS(AG46),3)</f>
        <v>-7.1999999999999995E-2</v>
      </c>
      <c r="AM46" s="3628"/>
    </row>
    <row r="47" spans="1:39" ht="15.6">
      <c r="A47" s="104"/>
      <c r="B47" s="104"/>
      <c r="C47" s="104"/>
      <c r="D47" s="104"/>
      <c r="E47" s="1030"/>
      <c r="F47" s="883"/>
      <c r="G47" s="1030"/>
      <c r="H47" s="883"/>
      <c r="I47" s="1030"/>
      <c r="J47" s="883"/>
      <c r="K47" s="1030"/>
      <c r="L47" s="115"/>
      <c r="M47" s="123"/>
      <c r="N47" s="115"/>
      <c r="O47" s="123"/>
      <c r="P47" s="115"/>
      <c r="Q47" s="123"/>
      <c r="R47" s="115"/>
      <c r="S47" s="123"/>
      <c r="T47" s="115"/>
      <c r="U47" s="123"/>
      <c r="V47" s="115"/>
      <c r="W47" s="123"/>
      <c r="X47" s="115"/>
      <c r="Y47" s="123"/>
      <c r="Z47" s="115"/>
      <c r="AA47" s="123"/>
      <c r="AB47" s="115"/>
      <c r="AC47" s="668"/>
      <c r="AD47" s="123"/>
      <c r="AE47" s="1069"/>
      <c r="AF47" s="668"/>
      <c r="AG47" s="123"/>
      <c r="AH47" s="64"/>
      <c r="AI47" s="1092"/>
      <c r="AJ47" s="355"/>
      <c r="AK47" s="1090"/>
      <c r="AL47" s="1072"/>
    </row>
    <row r="48" spans="1:39" ht="15.6">
      <c r="A48" s="104"/>
      <c r="B48" s="102" t="s">
        <v>22</v>
      </c>
      <c r="C48" s="104"/>
      <c r="D48" s="104"/>
      <c r="E48" s="883"/>
      <c r="F48" s="883"/>
      <c r="G48" s="883"/>
      <c r="H48" s="883"/>
      <c r="I48" s="883"/>
      <c r="J48" s="883"/>
      <c r="K48" s="883"/>
      <c r="L48" s="115"/>
      <c r="M48" s="115"/>
      <c r="N48" s="115"/>
      <c r="O48" s="115"/>
      <c r="P48" s="115"/>
      <c r="Q48" s="115"/>
      <c r="R48" s="115"/>
      <c r="S48" s="115"/>
      <c r="T48" s="115"/>
      <c r="U48" s="115"/>
      <c r="V48" s="115"/>
      <c r="W48" s="115"/>
      <c r="X48" s="115"/>
      <c r="Y48" s="115"/>
      <c r="Z48" s="115"/>
      <c r="AA48" s="115"/>
      <c r="AB48" s="115"/>
      <c r="AC48" s="668"/>
      <c r="AD48" s="115"/>
      <c r="AE48" s="1069"/>
      <c r="AF48" s="668"/>
      <c r="AG48" s="115"/>
      <c r="AH48" s="115"/>
      <c r="AI48" s="1092"/>
      <c r="AJ48" s="355"/>
      <c r="AK48" s="1090"/>
      <c r="AL48" s="1072"/>
    </row>
    <row r="49" spans="1:41" ht="15.6">
      <c r="A49" s="104"/>
      <c r="B49" s="104" t="s">
        <v>150</v>
      </c>
      <c r="C49" s="104"/>
      <c r="D49" s="104"/>
      <c r="E49" s="1520"/>
      <c r="F49" s="883"/>
      <c r="G49" s="883"/>
      <c r="H49" s="883"/>
      <c r="I49" s="883"/>
      <c r="J49" s="883"/>
      <c r="K49" s="883"/>
      <c r="L49" s="115"/>
      <c r="M49" s="115"/>
      <c r="N49" s="115"/>
      <c r="O49" s="115"/>
      <c r="P49" s="115"/>
      <c r="Q49" s="1068"/>
      <c r="R49" s="115"/>
      <c r="S49" s="115"/>
      <c r="T49" s="115"/>
      <c r="U49" s="115"/>
      <c r="V49" s="115"/>
      <c r="W49" s="115"/>
      <c r="X49" s="115"/>
      <c r="Y49" s="115"/>
      <c r="Z49" s="115"/>
      <c r="AA49" s="115"/>
      <c r="AB49" s="115"/>
      <c r="AC49" s="668"/>
      <c r="AD49" s="115"/>
      <c r="AE49" s="1069"/>
      <c r="AF49" s="668"/>
      <c r="AG49" s="115"/>
      <c r="AH49" s="115"/>
      <c r="AI49" s="1092"/>
      <c r="AJ49" s="355"/>
      <c r="AK49" s="1071"/>
      <c r="AL49" s="1072"/>
    </row>
    <row r="50" spans="1:41" ht="15.6">
      <c r="A50" s="104"/>
      <c r="B50" s="104" t="s">
        <v>24</v>
      </c>
      <c r="C50" s="104"/>
      <c r="D50" s="104"/>
      <c r="E50" s="1520">
        <v>0</v>
      </c>
      <c r="F50" s="883"/>
      <c r="G50" s="1520">
        <v>0</v>
      </c>
      <c r="H50" s="883"/>
      <c r="I50" s="1520">
        <v>0</v>
      </c>
      <c r="J50" s="883"/>
      <c r="K50" s="1520">
        <v>0</v>
      </c>
      <c r="L50" s="883"/>
      <c r="M50" s="1520">
        <v>0</v>
      </c>
      <c r="N50" s="883"/>
      <c r="O50" s="1520">
        <v>0</v>
      </c>
      <c r="P50" s="883"/>
      <c r="Q50" s="1520">
        <v>0</v>
      </c>
      <c r="R50" s="883"/>
      <c r="S50" s="1520">
        <v>0</v>
      </c>
      <c r="T50" s="1520"/>
      <c r="U50" s="1520">
        <v>0</v>
      </c>
      <c r="V50" s="883"/>
      <c r="W50" s="1520">
        <f t="shared" ref="W50:W59" si="5">$AD50-$E50-$G50-$I50-$K50-$M50-$O50-$Q50-U50-S50</f>
        <v>0</v>
      </c>
      <c r="X50" s="1520"/>
      <c r="Y50" s="1520"/>
      <c r="Z50" s="883"/>
      <c r="AA50" s="1520"/>
      <c r="AB50" s="883"/>
      <c r="AC50" s="1401"/>
      <c r="AD50" s="1520">
        <v>0</v>
      </c>
      <c r="AE50" s="3148"/>
      <c r="AF50" s="1012"/>
      <c r="AG50" s="1520">
        <v>0</v>
      </c>
      <c r="AH50" s="116"/>
      <c r="AI50" s="1070"/>
      <c r="AJ50" s="1101">
        <f>ROUND(AD50-AG50,1)</f>
        <v>0</v>
      </c>
      <c r="AK50" s="1071"/>
      <c r="AL50" s="1629">
        <f>ROUND(IF(AG50=0,0,AJ50/ABS(AG50)),3)</f>
        <v>0</v>
      </c>
    </row>
    <row r="51" spans="1:41" ht="15.6">
      <c r="A51" s="104"/>
      <c r="B51" s="104" t="s">
        <v>25</v>
      </c>
      <c r="C51" s="104"/>
      <c r="D51" s="104"/>
      <c r="E51" s="1520">
        <v>0</v>
      </c>
      <c r="F51" s="883"/>
      <c r="G51" s="1520">
        <v>0</v>
      </c>
      <c r="H51" s="883"/>
      <c r="I51" s="1520">
        <v>0</v>
      </c>
      <c r="J51" s="883"/>
      <c r="K51" s="1520">
        <v>0</v>
      </c>
      <c r="L51" s="883"/>
      <c r="M51" s="1520">
        <v>0</v>
      </c>
      <c r="N51" s="883"/>
      <c r="O51" s="1520">
        <v>0</v>
      </c>
      <c r="P51" s="883"/>
      <c r="Q51" s="1520">
        <v>0</v>
      </c>
      <c r="R51" s="883"/>
      <c r="S51" s="1520">
        <v>0</v>
      </c>
      <c r="T51" s="1520"/>
      <c r="U51" s="1520">
        <v>106.4</v>
      </c>
      <c r="V51" s="883"/>
      <c r="W51" s="1520">
        <f t="shared" si="5"/>
        <v>0</v>
      </c>
      <c r="X51" s="1520"/>
      <c r="Y51" s="1520"/>
      <c r="Z51" s="883"/>
      <c r="AA51" s="1520"/>
      <c r="AB51" s="883"/>
      <c r="AC51" s="1401"/>
      <c r="AD51" s="1520">
        <v>106.4</v>
      </c>
      <c r="AE51" s="3148"/>
      <c r="AF51" s="1012"/>
      <c r="AG51" s="1520">
        <v>0</v>
      </c>
      <c r="AH51" s="116"/>
      <c r="AI51" s="1070"/>
      <c r="AJ51" s="1101">
        <f>ROUND(AD51-AG51,1)</f>
        <v>106.4</v>
      </c>
      <c r="AK51" s="1071"/>
      <c r="AL51" s="1708">
        <f>ROUND(IF(AG51=0,1,AJ51/ABS(AG51)),3)</f>
        <v>1</v>
      </c>
    </row>
    <row r="52" spans="1:41" ht="15.6">
      <c r="A52" s="104"/>
      <c r="B52" s="104" t="s">
        <v>26</v>
      </c>
      <c r="C52" s="104"/>
      <c r="D52" s="104"/>
      <c r="E52" s="1520">
        <v>0</v>
      </c>
      <c r="F52" s="883"/>
      <c r="G52" s="1520">
        <v>0</v>
      </c>
      <c r="H52" s="883"/>
      <c r="I52" s="1520">
        <v>0</v>
      </c>
      <c r="J52" s="883"/>
      <c r="K52" s="1520">
        <v>0</v>
      </c>
      <c r="L52" s="883"/>
      <c r="M52" s="1520">
        <v>0</v>
      </c>
      <c r="N52" s="883"/>
      <c r="O52" s="1520">
        <v>0</v>
      </c>
      <c r="P52" s="883"/>
      <c r="Q52" s="1520">
        <v>0</v>
      </c>
      <c r="R52" s="883"/>
      <c r="S52" s="1520">
        <v>0</v>
      </c>
      <c r="T52" s="1520"/>
      <c r="U52" s="1520">
        <v>0</v>
      </c>
      <c r="V52" s="883"/>
      <c r="W52" s="1520">
        <f t="shared" si="5"/>
        <v>0</v>
      </c>
      <c r="X52" s="1520"/>
      <c r="Y52" s="1520"/>
      <c r="Z52" s="883"/>
      <c r="AA52" s="1520"/>
      <c r="AB52" s="883"/>
      <c r="AC52" s="1401"/>
      <c r="AD52" s="1520">
        <v>0</v>
      </c>
      <c r="AE52" s="3148"/>
      <c r="AF52" s="1012"/>
      <c r="AG52" s="1520">
        <v>0</v>
      </c>
      <c r="AH52" s="116"/>
      <c r="AI52" s="1070"/>
      <c r="AJ52" s="1101">
        <f>ROUND(AD52-AG52,1)</f>
        <v>0</v>
      </c>
      <c r="AK52" s="1090"/>
      <c r="AL52" s="1706">
        <f>ROUND(IF(AG52=0,0,AJ52/ABS(AG52)),3)</f>
        <v>0</v>
      </c>
    </row>
    <row r="53" spans="1:41" ht="15.6">
      <c r="A53" s="104"/>
      <c r="B53" s="104" t="s">
        <v>27</v>
      </c>
      <c r="C53" s="104"/>
      <c r="D53" s="104"/>
      <c r="E53" s="1520" t="s">
        <v>14</v>
      </c>
      <c r="F53" s="883"/>
      <c r="G53" s="1520"/>
      <c r="H53" s="883"/>
      <c r="I53" s="1520"/>
      <c r="J53" s="883"/>
      <c r="K53" s="1520"/>
      <c r="L53" s="883"/>
      <c r="M53" s="1520"/>
      <c r="N53" s="883"/>
      <c r="O53" s="1520"/>
      <c r="P53" s="883"/>
      <c r="Q53" s="1520"/>
      <c r="R53" s="883"/>
      <c r="S53" s="1520"/>
      <c r="T53" s="1520"/>
      <c r="U53" s="1520"/>
      <c r="V53" s="883"/>
      <c r="W53" s="1520"/>
      <c r="X53" s="1520"/>
      <c r="Y53" s="1520"/>
      <c r="Z53" s="883"/>
      <c r="AA53" s="1520"/>
      <c r="AB53" s="883"/>
      <c r="AC53" s="1401"/>
      <c r="AD53" s="1520"/>
      <c r="AE53" s="3148"/>
      <c r="AF53" s="1012"/>
      <c r="AG53" s="1520"/>
      <c r="AH53" s="115"/>
      <c r="AI53" s="1092"/>
      <c r="AJ53" s="1102"/>
      <c r="AK53" s="1071"/>
      <c r="AL53" s="1709" t="s">
        <v>14</v>
      </c>
    </row>
    <row r="54" spans="1:41" ht="15.6">
      <c r="A54" s="104"/>
      <c r="B54" s="104" t="s">
        <v>28</v>
      </c>
      <c r="C54" s="102"/>
      <c r="D54" s="104"/>
      <c r="E54" s="1520">
        <v>0</v>
      </c>
      <c r="F54" s="883"/>
      <c r="G54" s="1520">
        <v>0</v>
      </c>
      <c r="H54" s="883"/>
      <c r="I54" s="1520">
        <v>0</v>
      </c>
      <c r="J54" s="883"/>
      <c r="K54" s="1520">
        <v>0</v>
      </c>
      <c r="L54" s="883"/>
      <c r="M54" s="1520">
        <v>0</v>
      </c>
      <c r="N54" s="883"/>
      <c r="O54" s="1520">
        <v>0</v>
      </c>
      <c r="P54" s="883"/>
      <c r="Q54" s="1520">
        <v>0</v>
      </c>
      <c r="R54" s="883"/>
      <c r="S54" s="1520">
        <v>0</v>
      </c>
      <c r="T54" s="1520"/>
      <c r="U54" s="1520">
        <v>0</v>
      </c>
      <c r="V54" s="883"/>
      <c r="W54" s="1520">
        <f t="shared" si="5"/>
        <v>0</v>
      </c>
      <c r="X54" s="1520"/>
      <c r="Y54" s="1520"/>
      <c r="Z54" s="883"/>
      <c r="AA54" s="1520"/>
      <c r="AB54" s="883"/>
      <c r="AC54" s="1401"/>
      <c r="AD54" s="1520">
        <v>0</v>
      </c>
      <c r="AE54" s="3148"/>
      <c r="AF54" s="1012"/>
      <c r="AG54" s="1520">
        <v>0</v>
      </c>
      <c r="AH54" s="115"/>
      <c r="AI54" s="1092"/>
      <c r="AJ54" s="1101">
        <f t="shared" ref="AJ54:AJ59" si="6">ROUND(AD54-AG54,1)</f>
        <v>0</v>
      </c>
      <c r="AK54" s="1090"/>
      <c r="AL54" s="1706">
        <f>ROUND(IF(AG54=0,0,AJ54/ABS(AG54)),3)</f>
        <v>0</v>
      </c>
      <c r="AM54" s="1090"/>
    </row>
    <row r="55" spans="1:41" ht="15.6">
      <c r="A55" s="104"/>
      <c r="B55" s="104" t="s">
        <v>29</v>
      </c>
      <c r="C55" s="104"/>
      <c r="D55" s="104"/>
      <c r="E55" s="1520">
        <v>0</v>
      </c>
      <c r="F55" s="883"/>
      <c r="G55" s="1520">
        <v>0</v>
      </c>
      <c r="H55" s="883"/>
      <c r="I55" s="1520">
        <v>3.7</v>
      </c>
      <c r="J55" s="883"/>
      <c r="K55" s="1520">
        <v>0</v>
      </c>
      <c r="L55" s="883"/>
      <c r="M55" s="1520">
        <v>0</v>
      </c>
      <c r="N55" s="883"/>
      <c r="O55" s="1520">
        <v>0.59999999999999964</v>
      </c>
      <c r="P55" s="883"/>
      <c r="Q55" s="1520">
        <v>0</v>
      </c>
      <c r="R55" s="883"/>
      <c r="S55" s="1520">
        <v>0</v>
      </c>
      <c r="T55" s="1520"/>
      <c r="U55" s="1520">
        <v>0</v>
      </c>
      <c r="V55" s="883"/>
      <c r="W55" s="1520">
        <f t="shared" si="5"/>
        <v>0</v>
      </c>
      <c r="X55" s="1520"/>
      <c r="Y55" s="1520"/>
      <c r="Z55" s="883"/>
      <c r="AA55" s="1520"/>
      <c r="AB55" s="883"/>
      <c r="AC55" s="1401"/>
      <c r="AD55" s="1520">
        <v>4.3</v>
      </c>
      <c r="AE55" s="3148"/>
      <c r="AF55" s="1012"/>
      <c r="AG55" s="1520">
        <v>2.1</v>
      </c>
      <c r="AH55" s="116"/>
      <c r="AI55" s="1070"/>
      <c r="AJ55" s="1101">
        <f t="shared" si="6"/>
        <v>2.2000000000000002</v>
      </c>
      <c r="AK55" s="1071"/>
      <c r="AL55" s="2174">
        <f>ROUND(IF(AG55=0,1,AJ55/ABS(AG55)),3)</f>
        <v>1.048</v>
      </c>
    </row>
    <row r="56" spans="1:41" ht="15.6">
      <c r="A56" s="104"/>
      <c r="B56" s="104" t="s">
        <v>30</v>
      </c>
      <c r="C56" s="104"/>
      <c r="D56" s="104"/>
      <c r="E56" s="1520">
        <v>0</v>
      </c>
      <c r="F56" s="883"/>
      <c r="G56" s="1520">
        <v>0</v>
      </c>
      <c r="H56" s="883"/>
      <c r="I56" s="1520">
        <v>21.2</v>
      </c>
      <c r="J56" s="883"/>
      <c r="K56" s="1520">
        <v>0</v>
      </c>
      <c r="L56" s="883"/>
      <c r="M56" s="1520">
        <v>0</v>
      </c>
      <c r="N56" s="883"/>
      <c r="O56" s="1520">
        <v>0</v>
      </c>
      <c r="P56" s="883"/>
      <c r="Q56" s="1520">
        <v>10.7</v>
      </c>
      <c r="R56" s="883"/>
      <c r="S56" s="1520">
        <v>0</v>
      </c>
      <c r="T56" s="1520"/>
      <c r="U56" s="1520">
        <v>29.000000000000004</v>
      </c>
      <c r="V56" s="883"/>
      <c r="W56" s="1520">
        <f t="shared" si="5"/>
        <v>0</v>
      </c>
      <c r="X56" s="1520"/>
      <c r="Y56" s="1520"/>
      <c r="Z56" s="883"/>
      <c r="AA56" s="1520"/>
      <c r="AB56" s="883"/>
      <c r="AC56" s="1401"/>
      <c r="AD56" s="1520">
        <v>60.9</v>
      </c>
      <c r="AE56" s="3148"/>
      <c r="AF56" s="1012"/>
      <c r="AG56" s="1520">
        <v>4.4000000000000004</v>
      </c>
      <c r="AH56" s="116"/>
      <c r="AI56" s="1070"/>
      <c r="AJ56" s="1101">
        <f t="shared" si="6"/>
        <v>56.5</v>
      </c>
      <c r="AK56" s="1090"/>
      <c r="AL56" s="2174">
        <f>ROUND(IF(AG56=0,0,AJ56/ABS(AG56)),3)</f>
        <v>12.840999999999999</v>
      </c>
    </row>
    <row r="57" spans="1:41" ht="15.6">
      <c r="A57" s="104"/>
      <c r="B57" s="104" t="s">
        <v>31</v>
      </c>
      <c r="C57" s="104"/>
      <c r="D57" s="104"/>
      <c r="E57" s="1520">
        <v>0</v>
      </c>
      <c r="F57" s="883"/>
      <c r="G57" s="1520">
        <v>0</v>
      </c>
      <c r="H57" s="883"/>
      <c r="I57" s="1520">
        <v>0</v>
      </c>
      <c r="J57" s="883"/>
      <c r="K57" s="1520">
        <v>0</v>
      </c>
      <c r="L57" s="883"/>
      <c r="M57" s="1520">
        <v>0</v>
      </c>
      <c r="N57" s="883"/>
      <c r="O57" s="1520">
        <v>0</v>
      </c>
      <c r="P57" s="883"/>
      <c r="Q57" s="1520">
        <v>0</v>
      </c>
      <c r="R57" s="883"/>
      <c r="S57" s="1520">
        <v>0</v>
      </c>
      <c r="T57" s="1520"/>
      <c r="U57" s="1520">
        <v>0</v>
      </c>
      <c r="V57" s="883"/>
      <c r="W57" s="1520">
        <f t="shared" si="5"/>
        <v>0</v>
      </c>
      <c r="X57" s="1520"/>
      <c r="Y57" s="1520"/>
      <c r="Z57" s="883"/>
      <c r="AA57" s="1520"/>
      <c r="AB57" s="883"/>
      <c r="AC57" s="1401"/>
      <c r="AD57" s="1520">
        <v>0</v>
      </c>
      <c r="AE57" s="3148"/>
      <c r="AF57" s="1012"/>
      <c r="AG57" s="1520">
        <v>0</v>
      </c>
      <c r="AH57" s="115"/>
      <c r="AI57" s="1092"/>
      <c r="AJ57" s="1101">
        <f t="shared" si="6"/>
        <v>0</v>
      </c>
      <c r="AK57" s="1071"/>
      <c r="AL57" s="1706">
        <f>ROUND(IF(AG57=0,0,AJ57/ABS(AG57)),3)</f>
        <v>0</v>
      </c>
    </row>
    <row r="58" spans="1:41" ht="15.6">
      <c r="A58" s="104"/>
      <c r="B58" s="104" t="s">
        <v>32</v>
      </c>
      <c r="C58" s="102"/>
      <c r="D58" s="104"/>
      <c r="E58" s="1520">
        <v>0</v>
      </c>
      <c r="F58" s="883"/>
      <c r="G58" s="1520">
        <v>0</v>
      </c>
      <c r="H58" s="883"/>
      <c r="I58" s="1520">
        <v>0</v>
      </c>
      <c r="J58" s="883"/>
      <c r="K58" s="1520">
        <v>0</v>
      </c>
      <c r="L58" s="883"/>
      <c r="M58" s="1520">
        <v>0</v>
      </c>
      <c r="N58" s="883"/>
      <c r="O58" s="1520">
        <v>0</v>
      </c>
      <c r="P58" s="883"/>
      <c r="Q58" s="1520">
        <v>0</v>
      </c>
      <c r="R58" s="883"/>
      <c r="S58" s="1520">
        <v>0</v>
      </c>
      <c r="T58" s="1520"/>
      <c r="U58" s="1520">
        <v>0</v>
      </c>
      <c r="V58" s="883"/>
      <c r="W58" s="1520">
        <f t="shared" si="5"/>
        <v>0</v>
      </c>
      <c r="X58" s="1520"/>
      <c r="Y58" s="1520"/>
      <c r="Z58" s="883"/>
      <c r="AA58" s="1520"/>
      <c r="AB58" s="883"/>
      <c r="AC58" s="1401"/>
      <c r="AD58" s="1520">
        <v>0</v>
      </c>
      <c r="AE58" s="3148"/>
      <c r="AF58" s="1012"/>
      <c r="AG58" s="1520">
        <v>0</v>
      </c>
      <c r="AH58" s="115"/>
      <c r="AI58" s="1092"/>
      <c r="AJ58" s="1101">
        <f t="shared" si="6"/>
        <v>0</v>
      </c>
      <c r="AK58" s="1090"/>
      <c r="AL58" s="1706">
        <f>ROUND(IF(AG58=0,0,AJ58/ABS(AG58)),3)</f>
        <v>0</v>
      </c>
      <c r="AM58" s="1090"/>
    </row>
    <row r="59" spans="1:41" ht="15.6">
      <c r="A59" s="104"/>
      <c r="B59" s="104" t="s">
        <v>33</v>
      </c>
      <c r="C59" s="104"/>
      <c r="D59" s="104"/>
      <c r="E59" s="1520">
        <v>5.9</v>
      </c>
      <c r="F59" s="883"/>
      <c r="G59" s="1520">
        <v>16.700000000000003</v>
      </c>
      <c r="H59" s="883"/>
      <c r="I59" s="1520">
        <v>44.6</v>
      </c>
      <c r="J59" s="883"/>
      <c r="K59" s="1520">
        <v>51.699999999999996</v>
      </c>
      <c r="L59" s="883"/>
      <c r="M59" s="1520">
        <v>29.299999999999976</v>
      </c>
      <c r="N59" s="883"/>
      <c r="O59" s="1520">
        <v>61.10000000000003</v>
      </c>
      <c r="P59" s="883"/>
      <c r="Q59" s="1520">
        <v>33.100000000000016</v>
      </c>
      <c r="R59" s="883"/>
      <c r="S59" s="1520">
        <v>33.500000000000007</v>
      </c>
      <c r="T59" s="1520"/>
      <c r="U59" s="1520">
        <v>41.499999999999993</v>
      </c>
      <c r="V59" s="883"/>
      <c r="W59" s="1520">
        <f t="shared" si="5"/>
        <v>45.599999999999987</v>
      </c>
      <c r="X59" s="1520"/>
      <c r="Y59" s="1520"/>
      <c r="Z59" s="883"/>
      <c r="AA59" s="1520"/>
      <c r="AB59" s="883"/>
      <c r="AC59" s="1401"/>
      <c r="AD59" s="1520">
        <v>363</v>
      </c>
      <c r="AE59" s="3148"/>
      <c r="AF59" s="1012"/>
      <c r="AG59" s="1520">
        <v>444.7</v>
      </c>
      <c r="AH59" s="64"/>
      <c r="AI59" s="1092"/>
      <c r="AJ59" s="1101">
        <f t="shared" si="6"/>
        <v>-81.7</v>
      </c>
      <c r="AK59" s="1090"/>
      <c r="AL59" s="1710">
        <f>ROUND((AD59-AG59)/ABS(AG59),3)</f>
        <v>-0.184</v>
      </c>
    </row>
    <row r="60" spans="1:41" ht="15.6">
      <c r="A60" s="104"/>
      <c r="B60" s="102" t="s">
        <v>196</v>
      </c>
      <c r="C60" s="104"/>
      <c r="D60" s="104"/>
      <c r="E60" s="1084">
        <f>ROUND(SUM(E50:E59),1)</f>
        <v>5.9</v>
      </c>
      <c r="F60" s="109"/>
      <c r="G60" s="1084">
        <f>ROUND(SUM(G50:G59),1)</f>
        <v>16.7</v>
      </c>
      <c r="H60" s="109"/>
      <c r="I60" s="1084">
        <f>ROUND(SUM(I50:I59),1)</f>
        <v>69.5</v>
      </c>
      <c r="J60" s="109"/>
      <c r="K60" s="1084">
        <f>ROUND(SUM(K50:K59),1)</f>
        <v>51.7</v>
      </c>
      <c r="L60" s="109"/>
      <c r="M60" s="1084">
        <f>ROUND(SUM(M50:M59),1)</f>
        <v>29.3</v>
      </c>
      <c r="N60" s="109"/>
      <c r="O60" s="1084">
        <f>ROUND(SUM(O50:O59),1)</f>
        <v>61.7</v>
      </c>
      <c r="P60" s="109"/>
      <c r="Q60" s="1084">
        <f>ROUND(SUM(Q50:Q59),1)</f>
        <v>43.8</v>
      </c>
      <c r="R60" s="109"/>
      <c r="S60" s="1084">
        <f>ROUND(SUM(S50:S59),1)</f>
        <v>33.5</v>
      </c>
      <c r="T60" s="109"/>
      <c r="U60" s="1084">
        <f>ROUND(SUM(U50:U59),1)</f>
        <v>176.9</v>
      </c>
      <c r="V60" s="109"/>
      <c r="W60" s="1084">
        <f>ROUND(SUM(W50:W59),1)</f>
        <v>45.6</v>
      </c>
      <c r="X60" s="109"/>
      <c r="Y60" s="1084">
        <f>ROUND(SUM(Y50:Y59),1)</f>
        <v>0</v>
      </c>
      <c r="Z60" s="109"/>
      <c r="AA60" s="1084">
        <f>ROUND(SUM(AA50:AA59),1)</f>
        <v>0</v>
      </c>
      <c r="AB60" s="109"/>
      <c r="AC60" s="669"/>
      <c r="AD60" s="1084">
        <f>ROUND(SUM(AD50:AD59),1)</f>
        <v>534.6</v>
      </c>
      <c r="AE60" s="1074"/>
      <c r="AF60" s="669"/>
      <c r="AG60" s="1084">
        <f>ROUND(SUM(AG50:AG59),1)</f>
        <v>451.2</v>
      </c>
      <c r="AH60" s="112"/>
      <c r="AI60" s="1092"/>
      <c r="AJ60" s="1084">
        <f>ROUND(SUM(AJ50:AJ59),1)</f>
        <v>83.4</v>
      </c>
      <c r="AK60" s="3631"/>
      <c r="AL60" s="3632">
        <f>ROUND(SUM(AD60-AG60)/ABS(AG60),3)</f>
        <v>0.185</v>
      </c>
      <c r="AM60" s="3631"/>
      <c r="AN60" s="3628"/>
      <c r="AO60" s="3628"/>
    </row>
    <row r="61" spans="1:41" ht="15.6">
      <c r="A61" s="104"/>
      <c r="B61" s="104" t="s">
        <v>197</v>
      </c>
      <c r="C61" s="104"/>
      <c r="D61" s="104"/>
      <c r="E61" s="883"/>
      <c r="F61" s="883"/>
      <c r="G61" s="883"/>
      <c r="H61" s="883"/>
      <c r="I61" s="883"/>
      <c r="J61" s="883"/>
      <c r="K61" s="883"/>
      <c r="L61" s="115"/>
      <c r="M61" s="115"/>
      <c r="N61" s="115"/>
      <c r="O61" s="115"/>
      <c r="P61" s="115"/>
      <c r="Q61" s="115"/>
      <c r="R61" s="115"/>
      <c r="S61" s="115"/>
      <c r="T61" s="115"/>
      <c r="U61" s="115"/>
      <c r="V61" s="115"/>
      <c r="W61" s="115"/>
      <c r="X61" s="115"/>
      <c r="Y61" s="115"/>
      <c r="Z61" s="115"/>
      <c r="AA61" s="115"/>
      <c r="AB61" s="115"/>
      <c r="AC61" s="668"/>
      <c r="AD61" s="115"/>
      <c r="AE61" s="1069"/>
      <c r="AF61" s="668"/>
      <c r="AG61" s="115"/>
      <c r="AH61" s="115"/>
      <c r="AI61" s="1092"/>
      <c r="AJ61" s="355"/>
      <c r="AK61" s="1090"/>
      <c r="AL61" s="1072"/>
    </row>
    <row r="62" spans="1:41" ht="15.6">
      <c r="A62" s="104"/>
      <c r="B62" s="104" t="s">
        <v>198</v>
      </c>
      <c r="C62" s="104"/>
      <c r="D62" s="104"/>
      <c r="E62" s="1520">
        <v>0</v>
      </c>
      <c r="F62" s="883"/>
      <c r="G62" s="1520">
        <v>0</v>
      </c>
      <c r="H62" s="883"/>
      <c r="I62" s="1520">
        <v>0</v>
      </c>
      <c r="J62" s="883"/>
      <c r="K62" s="1520">
        <v>0</v>
      </c>
      <c r="L62" s="883"/>
      <c r="M62" s="1520">
        <v>0</v>
      </c>
      <c r="N62" s="883"/>
      <c r="O62" s="1520">
        <v>0</v>
      </c>
      <c r="P62" s="883"/>
      <c r="Q62" s="1520">
        <v>0</v>
      </c>
      <c r="R62" s="883"/>
      <c r="S62" s="1520">
        <v>0</v>
      </c>
      <c r="T62" s="1520"/>
      <c r="U62" s="1520">
        <v>0</v>
      </c>
      <c r="V62" s="883"/>
      <c r="W62" s="1520">
        <f t="shared" ref="W62:W65" si="7">$AD62-$E62-$G62-$I62-$K62-$M62-$O62-$Q62-U62-S62</f>
        <v>0</v>
      </c>
      <c r="X62" s="883"/>
      <c r="Y62" s="1520"/>
      <c r="Z62" s="883"/>
      <c r="AA62" s="1520"/>
      <c r="AB62" s="883"/>
      <c r="AC62" s="1401"/>
      <c r="AD62" s="1520">
        <v>0</v>
      </c>
      <c r="AE62" s="3148"/>
      <c r="AF62" s="1012"/>
      <c r="AG62" s="1520">
        <v>0</v>
      </c>
      <c r="AH62" s="124"/>
      <c r="AI62" s="1096"/>
      <c r="AJ62" s="1101">
        <f>ROUND(AD62-AG62,1)</f>
        <v>0</v>
      </c>
      <c r="AK62" s="1090"/>
      <c r="AL62" s="1706">
        <f>ROUND(IF(AG62=0,0,AJ62/ABS(AG62)),3)</f>
        <v>0</v>
      </c>
      <c r="AM62" s="1091"/>
    </row>
    <row r="63" spans="1:41" ht="15.6">
      <c r="A63" s="104"/>
      <c r="B63" s="104" t="s">
        <v>199</v>
      </c>
      <c r="C63" s="104"/>
      <c r="D63" s="104"/>
      <c r="E63" s="1520">
        <v>0</v>
      </c>
      <c r="F63" s="883"/>
      <c r="G63" s="1520">
        <v>0</v>
      </c>
      <c r="H63" s="883"/>
      <c r="I63" s="1520">
        <v>0</v>
      </c>
      <c r="J63" s="883"/>
      <c r="K63" s="1520">
        <v>0</v>
      </c>
      <c r="L63" s="883"/>
      <c r="M63" s="1520">
        <v>0</v>
      </c>
      <c r="N63" s="883"/>
      <c r="O63" s="1520">
        <v>0</v>
      </c>
      <c r="P63" s="883"/>
      <c r="Q63" s="1520">
        <v>0</v>
      </c>
      <c r="R63" s="883"/>
      <c r="S63" s="1520">
        <v>0</v>
      </c>
      <c r="T63" s="1520"/>
      <c r="U63" s="1520">
        <v>0</v>
      </c>
      <c r="V63" s="883"/>
      <c r="W63" s="1520">
        <f t="shared" si="7"/>
        <v>0</v>
      </c>
      <c r="X63" s="883"/>
      <c r="Y63" s="1520"/>
      <c r="Z63" s="883"/>
      <c r="AA63" s="1520"/>
      <c r="AB63" s="883"/>
      <c r="AC63" s="1401"/>
      <c r="AD63" s="1520">
        <v>0</v>
      </c>
      <c r="AE63" s="3148"/>
      <c r="AF63" s="1012"/>
      <c r="AG63" s="1520">
        <v>0</v>
      </c>
      <c r="AH63" s="124"/>
      <c r="AI63" s="1096"/>
      <c r="AJ63" s="1101">
        <f>ROUND(AD63-AG63,1)</f>
        <v>0</v>
      </c>
      <c r="AK63" s="1090"/>
      <c r="AL63" s="1706">
        <f>ROUND(IF(AG63=0,0,AJ63/ABS(AG63)),3)</f>
        <v>0</v>
      </c>
    </row>
    <row r="64" spans="1:41" ht="15.6">
      <c r="A64" s="104"/>
      <c r="B64" s="104" t="s">
        <v>200</v>
      </c>
      <c r="C64" s="104"/>
      <c r="D64" s="104"/>
      <c r="E64" s="1520">
        <v>0</v>
      </c>
      <c r="F64" s="883"/>
      <c r="G64" s="1520">
        <v>0</v>
      </c>
      <c r="H64" s="883"/>
      <c r="I64" s="1520">
        <v>0</v>
      </c>
      <c r="J64" s="883"/>
      <c r="K64" s="1520">
        <v>0</v>
      </c>
      <c r="L64" s="883"/>
      <c r="M64" s="1520">
        <v>0</v>
      </c>
      <c r="N64" s="883"/>
      <c r="O64" s="1520">
        <v>0</v>
      </c>
      <c r="P64" s="883"/>
      <c r="Q64" s="1520">
        <v>0</v>
      </c>
      <c r="R64" s="883"/>
      <c r="S64" s="1520">
        <v>0</v>
      </c>
      <c r="T64" s="1520"/>
      <c r="U64" s="1520">
        <v>0</v>
      </c>
      <c r="V64" s="883"/>
      <c r="W64" s="1520">
        <f t="shared" si="7"/>
        <v>0</v>
      </c>
      <c r="X64" s="883"/>
      <c r="Y64" s="1520"/>
      <c r="Z64" s="883"/>
      <c r="AA64" s="1520"/>
      <c r="AB64" s="883"/>
      <c r="AC64" s="1401"/>
      <c r="AD64" s="1520">
        <v>0</v>
      </c>
      <c r="AE64" s="3148"/>
      <c r="AF64" s="1012"/>
      <c r="AG64" s="1520">
        <v>0</v>
      </c>
      <c r="AH64" s="124"/>
      <c r="AI64" s="1096"/>
      <c r="AJ64" s="1101">
        <f>ROUND(AD64-AG64,1)</f>
        <v>0</v>
      </c>
      <c r="AK64" s="1090"/>
      <c r="AL64" s="1706">
        <f>ROUND(IF(AG64=0,0,AJ64/ABS(AG64)),3)</f>
        <v>0</v>
      </c>
    </row>
    <row r="65" spans="1:39" ht="15.6">
      <c r="A65" s="104"/>
      <c r="B65" s="1705" t="s">
        <v>211</v>
      </c>
      <c r="C65" s="104"/>
      <c r="D65" s="104"/>
      <c r="E65" s="1520">
        <v>47.1</v>
      </c>
      <c r="F65" s="883"/>
      <c r="G65" s="3824">
        <v>107</v>
      </c>
      <c r="H65" s="883"/>
      <c r="I65" s="1520">
        <v>168</v>
      </c>
      <c r="J65" s="883"/>
      <c r="K65" s="1520">
        <v>135.59999999999997</v>
      </c>
      <c r="L65" s="883"/>
      <c r="M65" s="1520">
        <v>141.19999999999999</v>
      </c>
      <c r="N65" s="883"/>
      <c r="O65" s="1520">
        <v>163</v>
      </c>
      <c r="P65" s="883"/>
      <c r="Q65" s="1520">
        <v>186.80000000000007</v>
      </c>
      <c r="R65" s="883"/>
      <c r="S65" s="1520">
        <v>141.50000000000017</v>
      </c>
      <c r="T65" s="1520"/>
      <c r="U65" s="1520">
        <v>148.89999999999981</v>
      </c>
      <c r="V65" s="883"/>
      <c r="W65" s="1520">
        <f t="shared" si="7"/>
        <v>84.800000000000182</v>
      </c>
      <c r="X65" s="883"/>
      <c r="Y65" s="1520"/>
      <c r="Z65" s="883"/>
      <c r="AA65" s="1520"/>
      <c r="AB65" s="883"/>
      <c r="AC65" s="1401"/>
      <c r="AD65" s="3149">
        <v>1323.9</v>
      </c>
      <c r="AE65" s="3148"/>
      <c r="AF65" s="1012"/>
      <c r="AG65" s="3149">
        <v>997</v>
      </c>
      <c r="AH65" s="67"/>
      <c r="AI65" s="1070"/>
      <c r="AJ65" s="1103">
        <f>ROUND(AD65-AG65,1)</f>
        <v>326.89999999999998</v>
      </c>
      <c r="AK65" s="1090"/>
      <c r="AL65" s="1707">
        <f>ROUND(IF(AG65=0,0,AJ65/ABS(AG65)),3)</f>
        <v>0.32800000000000001</v>
      </c>
    </row>
    <row r="66" spans="1:39" ht="15.6">
      <c r="A66" s="104"/>
      <c r="B66" s="104"/>
      <c r="C66" s="104"/>
      <c r="D66" s="104"/>
      <c r="E66" s="1030"/>
      <c r="F66" s="883"/>
      <c r="G66" s="1030"/>
      <c r="H66" s="883"/>
      <c r="I66" s="1030"/>
      <c r="J66" s="883"/>
      <c r="K66" s="1030"/>
      <c r="L66" s="115"/>
      <c r="M66" s="123"/>
      <c r="N66" s="115"/>
      <c r="O66" s="123"/>
      <c r="P66" s="115"/>
      <c r="Q66" s="123"/>
      <c r="R66" s="115"/>
      <c r="S66" s="123"/>
      <c r="T66" s="115"/>
      <c r="U66" s="123"/>
      <c r="V66" s="115"/>
      <c r="W66" s="123"/>
      <c r="X66" s="115"/>
      <c r="Y66" s="123"/>
      <c r="Z66" s="115"/>
      <c r="AA66" s="123"/>
      <c r="AB66" s="115"/>
      <c r="AC66" s="668"/>
      <c r="AD66" s="355"/>
      <c r="AE66" s="1069"/>
      <c r="AF66" s="668"/>
      <c r="AG66" s="355"/>
      <c r="AH66" s="355"/>
      <c r="AI66" s="1097"/>
      <c r="AJ66" s="355"/>
      <c r="AK66" s="1090"/>
      <c r="AL66" s="1072"/>
    </row>
    <row r="67" spans="1:39" ht="15.6">
      <c r="A67" s="104"/>
      <c r="B67" s="102" t="s">
        <v>201</v>
      </c>
      <c r="C67" s="104"/>
      <c r="D67" s="104"/>
      <c r="E67" s="109">
        <f>ROUND(SUM(E60:E65),1)</f>
        <v>53</v>
      </c>
      <c r="F67" s="109"/>
      <c r="G67" s="109">
        <f>ROUND(SUM(G60:G65),1)</f>
        <v>123.7</v>
      </c>
      <c r="H67" s="109"/>
      <c r="I67" s="109">
        <f>ROUND(SUM(I60:I65),1)</f>
        <v>237.5</v>
      </c>
      <c r="J67" s="109"/>
      <c r="K67" s="109">
        <f>ROUND(SUM(K60:K65),1)</f>
        <v>187.3</v>
      </c>
      <c r="L67" s="109"/>
      <c r="M67" s="109">
        <f>ROUND(SUM(M60:M65),1)</f>
        <v>170.5</v>
      </c>
      <c r="N67" s="109"/>
      <c r="O67" s="109">
        <f>ROUND(SUM(O60:O65),1)</f>
        <v>224.7</v>
      </c>
      <c r="P67" s="109"/>
      <c r="Q67" s="109">
        <f>ROUND(SUM(Q60:Q65),1)</f>
        <v>230.6</v>
      </c>
      <c r="R67" s="109"/>
      <c r="S67" s="109">
        <f>ROUND(SUM(S60:S65),1)</f>
        <v>175</v>
      </c>
      <c r="T67" s="109"/>
      <c r="U67" s="109">
        <f>ROUND(SUM(U60:U65),1)</f>
        <v>325.8</v>
      </c>
      <c r="V67" s="109"/>
      <c r="W67" s="109">
        <f>ROUND(SUM(W60:W65),1)</f>
        <v>130.4</v>
      </c>
      <c r="X67" s="109"/>
      <c r="Y67" s="109">
        <f>ROUND(SUM(Y60:Y65),1)</f>
        <v>0</v>
      </c>
      <c r="Z67" s="109"/>
      <c r="AA67" s="109">
        <f>ROUND(SUM(AA60:AA65),1)</f>
        <v>0</v>
      </c>
      <c r="AB67" s="109"/>
      <c r="AC67" s="669"/>
      <c r="AD67" s="109">
        <f>SUM(AD60:AD65)</f>
        <v>1858.5</v>
      </c>
      <c r="AE67" s="1074"/>
      <c r="AF67" s="669"/>
      <c r="AG67" s="109">
        <f>SUM(AG60:AG65)</f>
        <v>1448.2</v>
      </c>
      <c r="AH67" s="112"/>
      <c r="AI67" s="1092"/>
      <c r="AJ67" s="110">
        <f>ROUND(AD67-AG67,1)</f>
        <v>410.3</v>
      </c>
      <c r="AK67" s="3631"/>
      <c r="AL67" s="3630">
        <f>ROUND(SUM(AD67-AG67)/ABS(AG67),3)</f>
        <v>0.28299999999999997</v>
      </c>
    </row>
    <row r="68" spans="1:39" ht="15.6">
      <c r="A68" s="104"/>
      <c r="B68" s="104"/>
      <c r="C68" s="104"/>
      <c r="D68" s="104"/>
      <c r="E68" s="1030"/>
      <c r="F68" s="883"/>
      <c r="G68" s="1030"/>
      <c r="H68" s="883"/>
      <c r="I68" s="1030"/>
      <c r="J68" s="883"/>
      <c r="K68" s="1030"/>
      <c r="L68" s="115"/>
      <c r="M68" s="123"/>
      <c r="N68" s="115"/>
      <c r="O68" s="123"/>
      <c r="P68" s="115"/>
      <c r="Q68" s="123"/>
      <c r="R68" s="115"/>
      <c r="S68" s="123"/>
      <c r="T68" s="115"/>
      <c r="U68" s="123"/>
      <c r="V68" s="115"/>
      <c r="W68" s="123"/>
      <c r="X68" s="115"/>
      <c r="Y68" s="123"/>
      <c r="Z68" s="115"/>
      <c r="AA68" s="123"/>
      <c r="AB68" s="115"/>
      <c r="AC68" s="668"/>
      <c r="AD68" s="1030" t="s">
        <v>14</v>
      </c>
      <c r="AE68" s="1069"/>
      <c r="AF68" s="668"/>
      <c r="AG68" s="123"/>
      <c r="AH68" s="64"/>
      <c r="AI68" s="1092"/>
      <c r="AJ68" s="355"/>
      <c r="AK68" s="1090"/>
      <c r="AL68" s="1072"/>
    </row>
    <row r="69" spans="1:39" ht="15.6">
      <c r="A69" s="104"/>
      <c r="B69" s="102" t="s">
        <v>202</v>
      </c>
      <c r="C69" s="104"/>
      <c r="D69" s="104"/>
      <c r="E69" s="883"/>
      <c r="F69" s="883"/>
      <c r="G69" s="883"/>
      <c r="H69" s="883"/>
      <c r="I69" s="883"/>
      <c r="J69" s="883"/>
      <c r="K69" s="883"/>
      <c r="L69" s="115"/>
      <c r="M69" s="115"/>
      <c r="N69" s="115"/>
      <c r="O69" s="115"/>
      <c r="P69" s="115"/>
      <c r="Q69" s="115"/>
      <c r="R69" s="115"/>
      <c r="S69" s="115"/>
      <c r="T69" s="115"/>
      <c r="U69" s="115"/>
      <c r="V69" s="115"/>
      <c r="W69" s="115"/>
      <c r="X69" s="115"/>
      <c r="Y69" s="115"/>
      <c r="Z69" s="115"/>
      <c r="AA69" s="115"/>
      <c r="AB69" s="115"/>
      <c r="AC69" s="668"/>
      <c r="AD69" s="355" t="s">
        <v>14</v>
      </c>
      <c r="AE69" s="1069"/>
      <c r="AF69" s="64"/>
      <c r="AG69" s="355"/>
      <c r="AH69" s="355"/>
      <c r="AI69" s="1097"/>
      <c r="AJ69" s="355"/>
      <c r="AK69" s="1090"/>
      <c r="AL69" s="1072"/>
    </row>
    <row r="70" spans="1:39" ht="15.6">
      <c r="A70" s="104"/>
      <c r="B70" s="102" t="s">
        <v>203</v>
      </c>
      <c r="C70" s="104"/>
      <c r="D70" s="104"/>
      <c r="E70" s="109">
        <f>ROUND(E46-E67,1)</f>
        <v>-47.4</v>
      </c>
      <c r="F70" s="109"/>
      <c r="G70" s="109">
        <f>ROUND(G46-G67,1)</f>
        <v>-100.4</v>
      </c>
      <c r="H70" s="109"/>
      <c r="I70" s="109">
        <f>ROUND(I46-I67,1)</f>
        <v>-127.4</v>
      </c>
      <c r="J70" s="109"/>
      <c r="K70" s="109">
        <f>ROUND(K46-K67,1)</f>
        <v>-46.4</v>
      </c>
      <c r="L70" s="109"/>
      <c r="M70" s="109">
        <f>ROUND(M46-M67,1)</f>
        <v>-3.3</v>
      </c>
      <c r="N70" s="109"/>
      <c r="O70" s="109">
        <f>ROUND(O46-O67,1)</f>
        <v>-99.7</v>
      </c>
      <c r="P70" s="109"/>
      <c r="Q70" s="109">
        <f>ROUND(Q46-Q67,1)</f>
        <v>-93.2</v>
      </c>
      <c r="R70" s="109"/>
      <c r="S70" s="109">
        <f>ROUND(S46-S67,1)</f>
        <v>138.4</v>
      </c>
      <c r="T70" s="109"/>
      <c r="U70" s="109">
        <f>ROUND(U46-U67,1)</f>
        <v>25.4</v>
      </c>
      <c r="V70" s="109"/>
      <c r="W70" s="109">
        <f>ROUND(W46-W67,1)</f>
        <v>47.5</v>
      </c>
      <c r="X70" s="109"/>
      <c r="Y70" s="109">
        <f>ROUND(Y46-Y67,1)</f>
        <v>0</v>
      </c>
      <c r="Z70" s="109"/>
      <c r="AA70" s="109">
        <f>ROUND(AA46-AA67,1)</f>
        <v>0</v>
      </c>
      <c r="AB70" s="109"/>
      <c r="AC70" s="669"/>
      <c r="AD70" s="109">
        <f>ROUND(SUM(AD46-AD67),1)</f>
        <v>-306.5</v>
      </c>
      <c r="AE70" s="1074"/>
      <c r="AF70" s="669"/>
      <c r="AG70" s="109">
        <f>ROUND(SUM(AG46-AG67),1)</f>
        <v>223.5</v>
      </c>
      <c r="AH70" s="112"/>
      <c r="AI70" s="1092"/>
      <c r="AJ70" s="110">
        <f>ROUND(AD70-AG70,1)</f>
        <v>-530</v>
      </c>
      <c r="AK70" s="3631"/>
      <c r="AL70" s="3596">
        <f>ROUND(SUM(AD70-AG70)/ABS(AG70),3)</f>
        <v>-2.371</v>
      </c>
    </row>
    <row r="71" spans="1:39" ht="15.6">
      <c r="A71" s="104"/>
      <c r="B71" s="104"/>
      <c r="C71" s="104"/>
      <c r="D71" s="104"/>
      <c r="E71" s="1030"/>
      <c r="F71" s="883"/>
      <c r="G71" s="1030"/>
      <c r="H71" s="883"/>
      <c r="I71" s="1030"/>
      <c r="J71" s="883"/>
      <c r="K71" s="1030"/>
      <c r="L71" s="115"/>
      <c r="M71" s="123"/>
      <c r="N71" s="115"/>
      <c r="O71" s="123"/>
      <c r="P71" s="115"/>
      <c r="Q71" s="123"/>
      <c r="R71" s="115"/>
      <c r="S71" s="123"/>
      <c r="T71" s="115"/>
      <c r="U71" s="123"/>
      <c r="V71" s="115"/>
      <c r="W71" s="123"/>
      <c r="X71" s="115"/>
      <c r="Y71" s="123"/>
      <c r="Z71" s="115"/>
      <c r="AA71" s="123"/>
      <c r="AB71" s="115"/>
      <c r="AC71" s="668"/>
      <c r="AD71" s="123"/>
      <c r="AE71" s="1069"/>
      <c r="AF71" s="668"/>
      <c r="AG71" s="123"/>
      <c r="AH71" s="64"/>
      <c r="AI71" s="1092"/>
      <c r="AJ71" s="355"/>
      <c r="AK71" s="1090"/>
      <c r="AL71" s="1072"/>
    </row>
    <row r="72" spans="1:39" ht="15.6">
      <c r="A72" s="104"/>
      <c r="B72" s="102" t="s">
        <v>204</v>
      </c>
      <c r="C72" s="104"/>
      <c r="D72" s="104"/>
      <c r="E72" s="883"/>
      <c r="F72" s="883"/>
      <c r="G72" s="883"/>
      <c r="H72" s="883"/>
      <c r="I72" s="883"/>
      <c r="J72" s="883"/>
      <c r="K72" s="883"/>
      <c r="L72" s="115"/>
      <c r="M72" s="115"/>
      <c r="N72" s="115"/>
      <c r="O72" s="115"/>
      <c r="P72" s="115"/>
      <c r="Q72" s="115"/>
      <c r="R72" s="115"/>
      <c r="S72" s="115"/>
      <c r="T72" s="115"/>
      <c r="U72" s="115"/>
      <c r="V72" s="115"/>
      <c r="W72" s="115" t="s">
        <v>14</v>
      </c>
      <c r="X72" s="115"/>
      <c r="Y72" s="115"/>
      <c r="Z72" s="115"/>
      <c r="AA72" s="115"/>
      <c r="AB72" s="115"/>
      <c r="AC72" s="668"/>
      <c r="AD72" s="124"/>
      <c r="AE72" s="1069"/>
      <c r="AF72" s="668"/>
      <c r="AG72" s="124"/>
      <c r="AH72" s="124"/>
      <c r="AI72" s="1096"/>
      <c r="AJ72" s="355"/>
      <c r="AK72" s="1090"/>
      <c r="AL72" s="1072"/>
    </row>
    <row r="73" spans="1:39" ht="15.6">
      <c r="A73" s="104"/>
      <c r="B73" s="1705" t="s">
        <v>212</v>
      </c>
      <c r="C73" s="104"/>
      <c r="D73" s="104"/>
      <c r="E73" s="1520">
        <v>0</v>
      </c>
      <c r="F73" s="883"/>
      <c r="G73" s="1520">
        <v>0</v>
      </c>
      <c r="H73" s="883"/>
      <c r="I73" s="1520">
        <v>0</v>
      </c>
      <c r="J73" s="883"/>
      <c r="K73" s="1520">
        <v>0</v>
      </c>
      <c r="L73" s="883"/>
      <c r="M73" s="1520">
        <v>0</v>
      </c>
      <c r="N73" s="883"/>
      <c r="O73" s="1520">
        <v>0</v>
      </c>
      <c r="P73" s="883"/>
      <c r="Q73" s="1520">
        <v>0</v>
      </c>
      <c r="R73" s="883"/>
      <c r="S73" s="1520">
        <v>0</v>
      </c>
      <c r="T73" s="1520"/>
      <c r="U73" s="1520">
        <v>2.1</v>
      </c>
      <c r="V73" s="883"/>
      <c r="W73" s="1520">
        <f t="shared" ref="W73:W74" si="8">$AD73-$E73-$G73-$I73-$K73-$M73-$O73-$Q73-U73-S73</f>
        <v>0</v>
      </c>
      <c r="X73" s="883"/>
      <c r="Y73" s="1520"/>
      <c r="Z73" s="883"/>
      <c r="AA73" s="1520"/>
      <c r="AB73" s="883"/>
      <c r="AC73" s="1401"/>
      <c r="AD73" s="1520">
        <v>2.1</v>
      </c>
      <c r="AE73" s="3148"/>
      <c r="AF73" s="1012"/>
      <c r="AG73" s="1520">
        <v>0</v>
      </c>
      <c r="AH73" s="116"/>
      <c r="AI73" s="1070"/>
      <c r="AJ73" s="1912">
        <f>ROUND(AD73-AG73,1)</f>
        <v>2.1</v>
      </c>
      <c r="AK73" s="1090"/>
      <c r="AL73" s="1629">
        <f>ROUND(IF(AG73=0,1,AJ73/ABS(AG73)),3)</f>
        <v>1</v>
      </c>
      <c r="AM73" s="1090"/>
    </row>
    <row r="74" spans="1:39" ht="15.6">
      <c r="A74" s="104"/>
      <c r="B74" s="1705" t="s">
        <v>213</v>
      </c>
      <c r="C74" s="104"/>
      <c r="D74" s="104"/>
      <c r="E74" s="1520">
        <v>0</v>
      </c>
      <c r="F74" s="883"/>
      <c r="G74" s="1520">
        <v>0</v>
      </c>
      <c r="H74" s="883"/>
      <c r="I74" s="1520">
        <v>-0.3</v>
      </c>
      <c r="J74" s="883"/>
      <c r="K74" s="1520">
        <v>0</v>
      </c>
      <c r="L74" s="883"/>
      <c r="M74" s="1520">
        <v>0</v>
      </c>
      <c r="N74" s="883"/>
      <c r="O74" s="1520">
        <v>0</v>
      </c>
      <c r="P74" s="883"/>
      <c r="Q74" s="1520">
        <v>0</v>
      </c>
      <c r="R74" s="883"/>
      <c r="S74" s="1520">
        <v>0</v>
      </c>
      <c r="T74" s="1520"/>
      <c r="U74" s="1520">
        <v>-0.10000000000000003</v>
      </c>
      <c r="V74" s="883"/>
      <c r="W74" s="1520">
        <f t="shared" si="8"/>
        <v>0</v>
      </c>
      <c r="X74" s="883"/>
      <c r="Y74" s="1520"/>
      <c r="Z74" s="883"/>
      <c r="AA74" s="1520"/>
      <c r="AB74" s="883"/>
      <c r="AC74" s="1401"/>
      <c r="AD74" s="3149">
        <v>-0.4</v>
      </c>
      <c r="AE74" s="3148"/>
      <c r="AF74" s="1012"/>
      <c r="AG74" s="3149">
        <v>0</v>
      </c>
      <c r="AH74" s="64"/>
      <c r="AI74" s="1092"/>
      <c r="AJ74" s="1103">
        <f>-ROUND(AD74-AG74,1)</f>
        <v>0.4</v>
      </c>
      <c r="AK74" s="1090"/>
      <c r="AL74" s="1708">
        <f>ROUND(IF(AG74=0,1,AJ74/ABS(AG74)),3)</f>
        <v>1</v>
      </c>
    </row>
    <row r="75" spans="1:39" ht="15.6">
      <c r="A75" s="104"/>
      <c r="B75" s="104"/>
      <c r="C75" s="104"/>
      <c r="D75" s="104"/>
      <c r="E75" s="123"/>
      <c r="F75" s="115"/>
      <c r="G75" s="123"/>
      <c r="H75" s="115"/>
      <c r="I75" s="123"/>
      <c r="J75" s="115"/>
      <c r="K75" s="123"/>
      <c r="L75" s="115"/>
      <c r="M75" s="123"/>
      <c r="N75" s="115"/>
      <c r="O75" s="123"/>
      <c r="P75" s="115"/>
      <c r="Q75" s="123"/>
      <c r="R75" s="115"/>
      <c r="S75" s="123"/>
      <c r="T75" s="115"/>
      <c r="U75" s="123"/>
      <c r="V75" s="115"/>
      <c r="W75" s="1468"/>
      <c r="X75" s="115"/>
      <c r="Y75" s="123"/>
      <c r="Z75" s="115"/>
      <c r="AA75" s="123"/>
      <c r="AB75" s="115"/>
      <c r="AC75" s="668"/>
      <c r="AD75" s="355"/>
      <c r="AE75" s="1069"/>
      <c r="AF75" s="668"/>
      <c r="AG75" s="355"/>
      <c r="AH75" s="355"/>
      <c r="AI75" s="1097"/>
      <c r="AJ75" s="1104"/>
      <c r="AK75" s="3633"/>
      <c r="AL75" s="3634"/>
      <c r="AM75" s="1090"/>
    </row>
    <row r="76" spans="1:39" ht="15.6">
      <c r="A76" s="104"/>
      <c r="B76" s="102" t="s">
        <v>206</v>
      </c>
      <c r="C76" s="104"/>
      <c r="D76" s="104"/>
      <c r="E76" s="1099">
        <f>ROUND(SUM(E73:E75),1)</f>
        <v>0</v>
      </c>
      <c r="F76" s="115"/>
      <c r="G76" s="1099">
        <f>ROUND(SUM(G73:G75),1)</f>
        <v>0</v>
      </c>
      <c r="H76" s="115"/>
      <c r="I76" s="1099">
        <f>ROUND(SUM(I73:I75),1)</f>
        <v>-0.3</v>
      </c>
      <c r="J76" s="115"/>
      <c r="K76" s="1099">
        <f>ROUND(SUM(K73:K75),1)</f>
        <v>0</v>
      </c>
      <c r="L76" s="115"/>
      <c r="M76" s="1099">
        <f>ROUND(SUM(M73:M75),1)</f>
        <v>0</v>
      </c>
      <c r="N76" s="115"/>
      <c r="O76" s="1099">
        <f>ROUND(SUM(O73:O75),1)</f>
        <v>0</v>
      </c>
      <c r="P76" s="115"/>
      <c r="Q76" s="1099">
        <f>ROUND(SUM(Q73:Q75),1)</f>
        <v>0</v>
      </c>
      <c r="R76" s="124"/>
      <c r="S76" s="1099">
        <f>ROUND(SUM(S73:S75),1)</f>
        <v>0</v>
      </c>
      <c r="T76" s="115"/>
      <c r="U76" s="1099">
        <f>ROUND(SUM(U73:U75),1)</f>
        <v>2</v>
      </c>
      <c r="V76" s="115"/>
      <c r="W76" s="1099">
        <f>ROUND(SUM(W73:W75),1)</f>
        <v>0</v>
      </c>
      <c r="X76" s="115"/>
      <c r="Y76" s="1099">
        <f>ROUND(SUM(Y73:Y75),1)</f>
        <v>0</v>
      </c>
      <c r="Z76" s="116"/>
      <c r="AA76" s="1099">
        <f>ROUND(SUM(AA73:AA75),1)</f>
        <v>0</v>
      </c>
      <c r="AB76" s="115"/>
      <c r="AC76" s="668"/>
      <c r="AD76" s="1099">
        <f>ROUND(SUM(AD73:AD75),1)</f>
        <v>1.7</v>
      </c>
      <c r="AE76" s="1069"/>
      <c r="AF76" s="668"/>
      <c r="AG76" s="1099">
        <f>ROUND(SUM(AG73:AG75),1)</f>
        <v>0</v>
      </c>
      <c r="AH76" s="64"/>
      <c r="AI76" s="1092"/>
      <c r="AJ76" s="1099">
        <f>ROUND(SUM(AD76-AG76),1)</f>
        <v>1.7</v>
      </c>
      <c r="AK76" s="3633"/>
      <c r="AL76" s="2551">
        <f>ROUND(IF(AG76=0,1,AJ76/ABS(AG76)),3)</f>
        <v>1</v>
      </c>
    </row>
    <row r="77" spans="1:39" ht="15.6">
      <c r="A77" s="104"/>
      <c r="B77" s="104"/>
      <c r="C77" s="104"/>
      <c r="D77" s="104"/>
      <c r="E77" s="123"/>
      <c r="F77" s="115"/>
      <c r="G77" s="123"/>
      <c r="H77" s="115"/>
      <c r="I77" s="123"/>
      <c r="J77" s="115"/>
      <c r="K77" s="123"/>
      <c r="L77" s="115"/>
      <c r="M77" s="123"/>
      <c r="N77" s="115"/>
      <c r="O77" s="123"/>
      <c r="P77" s="115"/>
      <c r="Q77" s="123"/>
      <c r="R77" s="115"/>
      <c r="S77" s="123"/>
      <c r="T77" s="115"/>
      <c r="U77" s="123"/>
      <c r="V77" s="115"/>
      <c r="W77" s="123"/>
      <c r="X77" s="115"/>
      <c r="Y77" s="123"/>
      <c r="Z77" s="115"/>
      <c r="AA77" s="123"/>
      <c r="AB77" s="115"/>
      <c r="AC77" s="668"/>
      <c r="AD77" s="123"/>
      <c r="AE77" s="1069"/>
      <c r="AF77" s="668"/>
      <c r="AG77" s="123"/>
      <c r="AH77" s="64"/>
      <c r="AI77" s="1092"/>
      <c r="AJ77" s="123"/>
      <c r="AK77" s="1090"/>
      <c r="AL77" s="2148"/>
    </row>
    <row r="78" spans="1:39" ht="15.6">
      <c r="A78" s="104"/>
      <c r="B78" s="102" t="s">
        <v>207</v>
      </c>
      <c r="C78" s="104"/>
      <c r="D78" s="104"/>
      <c r="E78" s="115" t="s">
        <v>14</v>
      </c>
      <c r="F78" s="115" t="s">
        <v>14</v>
      </c>
      <c r="G78" s="115" t="s">
        <v>14</v>
      </c>
      <c r="H78" s="115"/>
      <c r="I78" s="115" t="s">
        <v>14</v>
      </c>
      <c r="J78" s="115"/>
      <c r="K78" s="115" t="s">
        <v>14</v>
      </c>
      <c r="L78" s="115"/>
      <c r="M78" s="115" t="s">
        <v>14</v>
      </c>
      <c r="N78" s="115"/>
      <c r="O78" s="115" t="s">
        <v>14</v>
      </c>
      <c r="P78" s="115"/>
      <c r="Q78" s="115" t="s">
        <v>14</v>
      </c>
      <c r="R78" s="115"/>
      <c r="S78" s="115" t="s">
        <v>14</v>
      </c>
      <c r="T78" s="115"/>
      <c r="U78" s="115" t="s">
        <v>14</v>
      </c>
      <c r="V78" s="115"/>
      <c r="W78" s="115" t="s">
        <v>14</v>
      </c>
      <c r="X78" s="115"/>
      <c r="Y78" s="115" t="s">
        <v>14</v>
      </c>
      <c r="Z78" s="115"/>
      <c r="AA78" s="115" t="s">
        <v>14</v>
      </c>
      <c r="AB78" s="115"/>
      <c r="AC78" s="668"/>
      <c r="AD78" s="115"/>
      <c r="AE78" s="1069"/>
      <c r="AF78" s="668"/>
      <c r="AG78" s="115"/>
      <c r="AH78" s="115"/>
      <c r="AI78" s="1092"/>
      <c r="AJ78" s="355"/>
      <c r="AK78" s="1090"/>
      <c r="AL78" s="1072"/>
    </row>
    <row r="79" spans="1:39" ht="15.6">
      <c r="A79" s="104"/>
      <c r="B79" s="102" t="s">
        <v>208</v>
      </c>
      <c r="C79" s="104"/>
      <c r="D79" s="104"/>
      <c r="E79" s="115"/>
      <c r="F79" s="115"/>
      <c r="G79" s="115" t="s">
        <v>14</v>
      </c>
      <c r="H79" s="115"/>
      <c r="I79" s="115" t="s">
        <v>14</v>
      </c>
      <c r="J79" s="115"/>
      <c r="K79" s="115" t="s">
        <v>14</v>
      </c>
      <c r="L79" s="115"/>
      <c r="M79" s="115" t="s">
        <v>14</v>
      </c>
      <c r="N79" s="115"/>
      <c r="O79" s="115" t="s">
        <v>14</v>
      </c>
      <c r="P79" s="115"/>
      <c r="Q79" s="115" t="s">
        <v>14</v>
      </c>
      <c r="R79" s="115"/>
      <c r="S79" s="115" t="s">
        <v>14</v>
      </c>
      <c r="T79" s="115"/>
      <c r="U79" s="115" t="s">
        <v>14</v>
      </c>
      <c r="V79" s="115"/>
      <c r="W79" s="115" t="s">
        <v>14</v>
      </c>
      <c r="X79" s="115"/>
      <c r="Y79" s="115" t="s">
        <v>14</v>
      </c>
      <c r="Z79" s="115"/>
      <c r="AA79" s="115" t="s">
        <v>14</v>
      </c>
      <c r="AB79" s="115"/>
      <c r="AC79" s="668"/>
      <c r="AD79" s="115"/>
      <c r="AE79" s="1069"/>
      <c r="AF79" s="668"/>
      <c r="AG79" s="115"/>
      <c r="AH79" s="115"/>
      <c r="AI79" s="1092"/>
      <c r="AJ79" s="355"/>
      <c r="AK79" s="1090"/>
      <c r="AL79" s="1072"/>
    </row>
    <row r="80" spans="1:39" ht="15.6">
      <c r="A80" s="104"/>
      <c r="B80" s="102" t="s">
        <v>166</v>
      </c>
      <c r="C80" s="104"/>
      <c r="D80" s="104"/>
      <c r="E80" s="1095">
        <f>ROUND(E70+E76,1)</f>
        <v>-47.4</v>
      </c>
      <c r="F80" s="64"/>
      <c r="G80" s="1095">
        <f>ROUND(G70+G76,1)</f>
        <v>-100.4</v>
      </c>
      <c r="H80" s="64"/>
      <c r="I80" s="1095">
        <f>ROUND(I70+I76,1)</f>
        <v>-127.7</v>
      </c>
      <c r="J80" s="64"/>
      <c r="K80" s="1095">
        <f>ROUND(K70+K76,1)</f>
        <v>-46.4</v>
      </c>
      <c r="L80" s="64"/>
      <c r="M80" s="1095">
        <f>ROUND(M70+M76,1)</f>
        <v>-3.3</v>
      </c>
      <c r="N80" s="64"/>
      <c r="O80" s="1095">
        <f>ROUND(O70+O76,1)</f>
        <v>-99.7</v>
      </c>
      <c r="P80" s="64"/>
      <c r="Q80" s="1095">
        <f>ROUND(Q70+Q76,1)</f>
        <v>-93.2</v>
      </c>
      <c r="R80" s="64"/>
      <c r="S80" s="1095">
        <f>ROUND(S70+S76,1)</f>
        <v>138.4</v>
      </c>
      <c r="T80" s="64"/>
      <c r="U80" s="1095">
        <f>ROUND(U70+U76,1)</f>
        <v>27.4</v>
      </c>
      <c r="V80" s="64"/>
      <c r="W80" s="1095">
        <f>ROUND(W70+W76,1)</f>
        <v>47.5</v>
      </c>
      <c r="X80" s="64"/>
      <c r="Y80" s="1095">
        <f>ROUND(Y70+Y76,1)</f>
        <v>0</v>
      </c>
      <c r="Z80" s="64"/>
      <c r="AA80" s="1095">
        <f>ROUND(AA70+AA76,1)</f>
        <v>0</v>
      </c>
      <c r="AB80" s="64"/>
      <c r="AC80" s="1060"/>
      <c r="AD80" s="1095">
        <f>ROUND(AD70+AD76,1)</f>
        <v>-304.8</v>
      </c>
      <c r="AE80" s="3150"/>
      <c r="AF80" s="3153"/>
      <c r="AG80" s="1095">
        <f>ROUND(AG70+AG76,1)</f>
        <v>223.5</v>
      </c>
      <c r="AH80" s="1827"/>
      <c r="AI80" s="1828"/>
      <c r="AJ80" s="1095">
        <f>ROUND(AD80-AG80,1)</f>
        <v>-528.29999999999995</v>
      </c>
      <c r="AK80" s="3403"/>
      <c r="AL80" s="3596">
        <f>ROUND(SUM(AD80-AG80)/ABS(AG80),3)</f>
        <v>-2.3639999999999999</v>
      </c>
      <c r="AM80" s="3635"/>
    </row>
    <row r="81" spans="1:39" ht="15.6">
      <c r="A81" s="104"/>
      <c r="B81" s="102"/>
      <c r="C81" s="104"/>
      <c r="D81" s="104"/>
      <c r="E81" s="136"/>
      <c r="F81" s="115"/>
      <c r="G81" s="136"/>
      <c r="H81" s="115"/>
      <c r="I81" s="136"/>
      <c r="J81" s="115"/>
      <c r="K81" s="136"/>
      <c r="L81" s="115"/>
      <c r="M81" s="136"/>
      <c r="N81" s="115"/>
      <c r="O81" s="136"/>
      <c r="P81" s="115"/>
      <c r="Q81" s="136"/>
      <c r="R81" s="115"/>
      <c r="S81" s="136"/>
      <c r="T81" s="115"/>
      <c r="U81" s="136"/>
      <c r="V81" s="115"/>
      <c r="W81" s="136"/>
      <c r="X81" s="115"/>
      <c r="Y81" s="136"/>
      <c r="Z81" s="115"/>
      <c r="AA81" s="136"/>
      <c r="AB81" s="115"/>
      <c r="AC81" s="1060"/>
      <c r="AD81" s="136"/>
      <c r="AE81" s="3151"/>
      <c r="AF81" s="3154"/>
      <c r="AG81" s="136"/>
      <c r="AH81" s="1368"/>
      <c r="AI81" s="1369"/>
      <c r="AJ81" s="136"/>
      <c r="AK81" s="3631"/>
      <c r="AL81" s="3636"/>
      <c r="AM81" s="3635"/>
    </row>
    <row r="82" spans="1:39" ht="16.2" thickBot="1">
      <c r="A82" s="104"/>
      <c r="B82" s="102" t="s">
        <v>1095</v>
      </c>
      <c r="C82" s="104"/>
      <c r="D82" s="104"/>
      <c r="E82" s="1829">
        <f>ROUND(SUM(E14+E80),1)</f>
        <v>-627.70000000000005</v>
      </c>
      <c r="F82" s="115"/>
      <c r="G82" s="1829">
        <f>ROUND(SUM(G14+G80),1)</f>
        <v>-728.1</v>
      </c>
      <c r="H82" s="115"/>
      <c r="I82" s="1829">
        <f>ROUND(SUM(I14+I80),1)</f>
        <v>-855.8</v>
      </c>
      <c r="J82" s="115"/>
      <c r="K82" s="1829">
        <f>ROUND(SUM(K14+K80),1)</f>
        <v>-902.2</v>
      </c>
      <c r="L82" s="115"/>
      <c r="M82" s="1829">
        <f>ROUND(SUM(M14+M80),1)</f>
        <v>-905.5</v>
      </c>
      <c r="N82" s="115"/>
      <c r="O82" s="1829">
        <f>ROUND(SUM(O14+O80),1)</f>
        <v>-1005.2</v>
      </c>
      <c r="P82" s="115"/>
      <c r="Q82" s="1829">
        <f>ROUND(SUM(Q14+Q80),1)</f>
        <v>-1098.4000000000001</v>
      </c>
      <c r="R82" s="115"/>
      <c r="S82" s="1829">
        <f>ROUND(SUM(S14+S80),1)</f>
        <v>-960</v>
      </c>
      <c r="T82" s="115"/>
      <c r="U82" s="1829">
        <f>ROUND(SUM(U14+U80),1)</f>
        <v>-932.6</v>
      </c>
      <c r="V82" s="115"/>
      <c r="W82" s="1829">
        <f>ROUND(SUM(W14+W80),1)</f>
        <v>-885.1</v>
      </c>
      <c r="X82" s="115"/>
      <c r="Y82" s="1829">
        <f>ROUND(SUM(Y14+Y80),1)</f>
        <v>0</v>
      </c>
      <c r="Z82" s="115"/>
      <c r="AA82" s="1829">
        <f>ROUND(SUM(AA14+AA80),1)</f>
        <v>0</v>
      </c>
      <c r="AB82" s="115"/>
      <c r="AC82" s="1060"/>
      <c r="AD82" s="1829">
        <f>ROUND(SUM(AD14+AD80),1)</f>
        <v>-885.1</v>
      </c>
      <c r="AE82" s="3151"/>
      <c r="AF82" s="3154"/>
      <c r="AG82" s="1829">
        <f>ROUND(SUM(AG14+AG80),1)</f>
        <v>-339.2</v>
      </c>
      <c r="AH82" s="1368"/>
      <c r="AI82" s="1369"/>
      <c r="AJ82" s="1829">
        <f>ROUND(SUM(AJ14+AJ80),1)</f>
        <v>-545.9</v>
      </c>
      <c r="AK82" s="3631"/>
      <c r="AL82" s="3637">
        <f>ROUND(SUM(AD82-AG82)/ABS(AG82),3)</f>
        <v>-1.609</v>
      </c>
      <c r="AM82" s="3635"/>
    </row>
    <row r="83" spans="1:39" ht="16.2" thickTop="1">
      <c r="A83" s="104"/>
      <c r="B83" s="104"/>
      <c r="C83" s="104"/>
      <c r="D83" s="10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05"/>
      <c r="AJ83" s="1090"/>
      <c r="AK83" s="1090"/>
      <c r="AL83" s="3638"/>
    </row>
    <row r="84" spans="1:39">
      <c r="A84" s="104"/>
      <c r="B84" s="3639"/>
      <c r="C84" s="104"/>
      <c r="D84" s="104"/>
      <c r="E84" s="106"/>
      <c r="F84" s="104"/>
      <c r="G84" s="106"/>
      <c r="H84" s="104"/>
      <c r="I84" s="106"/>
      <c r="J84" s="104"/>
      <c r="K84" s="106"/>
      <c r="L84" s="104"/>
      <c r="M84" s="106"/>
      <c r="N84" s="104"/>
      <c r="O84" s="106"/>
      <c r="P84" s="104"/>
      <c r="Q84" s="106"/>
      <c r="R84" s="104"/>
      <c r="S84" s="3640" t="s">
        <v>14</v>
      </c>
      <c r="T84" s="104"/>
      <c r="U84" s="3640" t="s">
        <v>14</v>
      </c>
      <c r="V84" s="104"/>
      <c r="W84" s="106"/>
      <c r="X84" s="104"/>
      <c r="Y84" s="106"/>
      <c r="Z84" s="104"/>
      <c r="AA84" s="106"/>
      <c r="AB84" s="104"/>
      <c r="AC84" s="104"/>
      <c r="AD84" s="106"/>
      <c r="AE84" s="104"/>
      <c r="AF84" s="104"/>
      <c r="AG84" s="106"/>
      <c r="AH84" s="106"/>
      <c r="AI84" s="106"/>
      <c r="AJ84" s="1090"/>
      <c r="AK84" s="1090"/>
      <c r="AL84" s="1072"/>
    </row>
    <row r="85" spans="1:39">
      <c r="B85" s="104"/>
      <c r="Y85" s="3404" t="s">
        <v>14</v>
      </c>
      <c r="AI85" s="1090"/>
      <c r="AJ85" s="1078" t="s">
        <v>14</v>
      </c>
      <c r="AK85" s="1090"/>
      <c r="AL85" s="3641"/>
    </row>
    <row r="90" spans="1:39">
      <c r="AD90" s="3152"/>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44 AL62:AL65 AL57:AL58 AL35:AL37 AL21:AL28 AL39:AL40 AL52:AL54" unlockedFormula="1"/>
    <ignoredError sqref="AL55 AL51" formula="1"/>
    <ignoredError sqref="AL38"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81640625" defaultRowHeight="16.5" customHeight="1"/>
  <cols>
    <col min="1" max="1" width="45.08984375" style="99" customWidth="1"/>
    <col min="2" max="2" width="1.81640625" style="99" customWidth="1"/>
    <col min="3" max="3" width="9.81640625" style="99" customWidth="1"/>
    <col min="4" max="4" width="1.81640625" style="99" customWidth="1"/>
    <col min="5" max="5" width="11.08984375" style="99" customWidth="1"/>
    <col min="6" max="6" width="1.81640625" style="99" customWidth="1"/>
    <col min="7" max="7" width="11.54296875" style="99" customWidth="1"/>
    <col min="8" max="8" width="1.81640625" style="99" customWidth="1"/>
    <col min="9" max="9" width="11.81640625" style="99" bestFit="1" customWidth="1"/>
    <col min="10" max="10" width="1.54296875" style="99" customWidth="1"/>
    <col min="11" max="11" width="11.54296875" style="99" bestFit="1" customWidth="1"/>
    <col min="12" max="12" width="1.54296875" style="99" customWidth="1"/>
    <col min="13" max="13" width="13.08984375" style="99" customWidth="1"/>
    <col min="14" max="14" width="1.81640625" style="99" customWidth="1"/>
    <col min="15" max="15" width="11.81640625" style="99" customWidth="1"/>
    <col min="16" max="16" width="1.81640625" style="99" customWidth="1"/>
    <col min="17" max="17" width="11.81640625" style="99" customWidth="1"/>
    <col min="18" max="18" width="1.81640625" style="99" customWidth="1"/>
    <col min="19" max="19" width="12.453125" style="99" customWidth="1"/>
    <col min="20" max="20" width="1.81640625" style="99" customWidth="1"/>
    <col min="21" max="21" width="11.81640625" style="99" customWidth="1"/>
    <col min="22" max="22" width="1.81640625" style="99" customWidth="1"/>
    <col min="23" max="23" width="12" style="99" customWidth="1"/>
    <col min="24" max="24" width="1.81640625" style="99" customWidth="1"/>
    <col min="25" max="25" width="11.81640625" style="99" customWidth="1"/>
    <col min="26" max="27" width="1.81640625" style="99" customWidth="1"/>
    <col min="28" max="28" width="11.54296875" style="1692" customWidth="1"/>
    <col min="29" max="30" width="1.81640625" style="1692" customWidth="1"/>
    <col min="31" max="31" width="12.453125" style="1692" customWidth="1"/>
    <col min="32" max="32" width="1.81640625" style="2188" customWidth="1"/>
    <col min="33" max="33" width="2.453125" style="3167" customWidth="1"/>
    <col min="34" max="34" width="12.453125" style="1641" customWidth="1"/>
    <col min="35" max="35" width="1.81640625" style="1121" customWidth="1"/>
    <col min="36" max="36" width="14.08984375" style="1120" bestFit="1" customWidth="1"/>
    <col min="37" max="16384" width="8.81640625" style="99"/>
  </cols>
  <sheetData>
    <row r="1" spans="1:254" ht="16.5" customHeight="1">
      <c r="A1" s="635" t="s">
        <v>881</v>
      </c>
    </row>
    <row r="2" spans="1:254" ht="16.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3063"/>
      <c r="AC2" s="3063"/>
      <c r="AD2" s="3063"/>
      <c r="AE2" s="3063"/>
    </row>
    <row r="3" spans="1:254" ht="20.25" customHeight="1">
      <c r="A3" s="3480"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1686"/>
      <c r="AC3" s="1686"/>
      <c r="AD3" s="1686"/>
      <c r="AE3" s="1686"/>
      <c r="AF3" s="104"/>
      <c r="AJ3" s="1158" t="s">
        <v>990</v>
      </c>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row>
    <row r="4" spans="1:254" ht="20.25" customHeight="1">
      <c r="A4" s="3480" t="s">
        <v>214</v>
      </c>
      <c r="B4" s="218"/>
      <c r="C4" s="218"/>
      <c r="D4" s="218"/>
      <c r="E4" s="218"/>
      <c r="F4" s="218"/>
      <c r="G4" s="218"/>
      <c r="H4" s="218"/>
      <c r="I4" s="218" t="s">
        <v>14</v>
      </c>
      <c r="J4" s="218"/>
      <c r="K4" s="218"/>
      <c r="L4" s="218"/>
      <c r="M4" s="218"/>
      <c r="N4" s="218"/>
      <c r="O4" s="218"/>
      <c r="P4" s="218"/>
      <c r="Q4" s="218"/>
      <c r="R4" s="218"/>
      <c r="S4" s="218"/>
      <c r="T4" s="218"/>
      <c r="U4" s="218"/>
      <c r="V4" s="218"/>
      <c r="W4" s="218"/>
      <c r="X4" s="218"/>
      <c r="Y4" s="218" t="s">
        <v>14</v>
      </c>
      <c r="Z4" s="218"/>
      <c r="AA4" s="218"/>
      <c r="AB4" s="1686"/>
      <c r="AC4" s="1686"/>
      <c r="AD4" s="1686"/>
      <c r="AE4" s="1686"/>
      <c r="AF4" s="104"/>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row>
    <row r="5" spans="1:254" ht="20.25" customHeight="1">
      <c r="A5" s="3481" t="s">
        <v>122</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F5" s="3168"/>
      <c r="AK5" s="219"/>
      <c r="AL5" s="219"/>
      <c r="AM5" s="219"/>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row>
    <row r="6" spans="1:254" ht="20.25" customHeight="1">
      <c r="A6" s="3481" t="str">
        <f>'Cashflow Governmental'!A6</f>
        <v xml:space="preserve">FISCAL YEAR 2021-2022   </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1686"/>
      <c r="AC6" s="1686"/>
      <c r="AD6" s="1686"/>
      <c r="AE6" s="1686"/>
      <c r="AF6" s="104"/>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row>
    <row r="7" spans="1:254" ht="20.25" customHeight="1">
      <c r="A7" s="3480" t="s">
        <v>1263</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1686"/>
      <c r="AC7" s="1686"/>
      <c r="AD7" s="1686"/>
      <c r="AE7" s="1686"/>
      <c r="AF7" s="104"/>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row>
    <row r="8" spans="1:254" ht="16.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3063"/>
      <c r="AC8" s="3063"/>
      <c r="AD8" s="3063"/>
      <c r="AE8" s="3063"/>
      <c r="AF8" s="104"/>
    </row>
    <row r="9" spans="1:254" ht="16.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3063"/>
      <c r="AC9" s="3063"/>
      <c r="AD9" s="3063"/>
      <c r="AE9" s="3063"/>
      <c r="AF9" s="1076"/>
      <c r="AG9" s="3169"/>
    </row>
    <row r="10" spans="1:254" ht="16.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3063"/>
      <c r="AC10" s="3063"/>
      <c r="AD10" s="3063"/>
      <c r="AE10" s="3063"/>
      <c r="AF10" s="1692"/>
      <c r="AG10" s="3170"/>
    </row>
    <row r="11" spans="1:254" ht="16.5"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C11" s="3063"/>
      <c r="AD11" s="3063"/>
      <c r="AE11" s="3063"/>
      <c r="AF11" s="3171"/>
      <c r="AG11" s="3172"/>
      <c r="AH11" s="3169"/>
      <c r="AI11" s="1122"/>
      <c r="AJ11" s="1122"/>
    </row>
    <row r="12" spans="1:254" ht="16.5" customHeight="1">
      <c r="A12" s="218"/>
      <c r="B12" s="218"/>
      <c r="C12" s="227" t="s">
        <v>14</v>
      </c>
      <c r="D12" s="227" t="s">
        <v>14</v>
      </c>
      <c r="E12" s="227"/>
      <c r="F12" s="227"/>
      <c r="G12" s="227"/>
      <c r="H12" s="227"/>
      <c r="I12" s="227"/>
      <c r="J12" s="227"/>
      <c r="K12" s="227"/>
      <c r="L12" s="227"/>
      <c r="M12" s="227"/>
      <c r="N12" s="227"/>
      <c r="O12" s="227"/>
      <c r="P12" s="227"/>
      <c r="Q12" s="227"/>
      <c r="R12" s="227"/>
      <c r="S12" s="227"/>
      <c r="T12" s="227"/>
      <c r="U12" s="227"/>
      <c r="V12" s="227"/>
      <c r="W12" s="227"/>
      <c r="X12" s="227"/>
      <c r="Y12" s="753"/>
      <c r="Z12" s="753"/>
      <c r="AA12" s="227"/>
      <c r="AB12" s="3985" t="s">
        <v>1572</v>
      </c>
      <c r="AC12" s="3986"/>
      <c r="AD12" s="3986"/>
      <c r="AE12" s="3986"/>
      <c r="AF12" s="3986"/>
      <c r="AG12" s="3986"/>
      <c r="AH12" s="3986"/>
      <c r="AI12" s="3986"/>
      <c r="AJ12" s="3986"/>
    </row>
    <row r="13" spans="1:254" ht="16.5" customHeight="1">
      <c r="A13" s="218"/>
      <c r="B13" s="218"/>
      <c r="C13" s="896" t="str">
        <f>'Cashflow Governmental'!C13</f>
        <v>2021</v>
      </c>
      <c r="D13" s="227"/>
      <c r="E13" s="227"/>
      <c r="F13" s="227"/>
      <c r="G13" s="227"/>
      <c r="H13" s="227"/>
      <c r="I13" s="227"/>
      <c r="J13" s="227"/>
      <c r="K13" s="227"/>
      <c r="L13" s="227"/>
      <c r="M13" s="227"/>
      <c r="N13" s="227"/>
      <c r="O13" s="227"/>
      <c r="P13" s="227"/>
      <c r="Q13" s="227"/>
      <c r="R13" s="227"/>
      <c r="S13" s="227"/>
      <c r="T13" s="227"/>
      <c r="U13" s="896">
        <f>'Cashflow Governmental'!U13</f>
        <v>2022</v>
      </c>
      <c r="V13" s="227"/>
      <c r="W13" s="227"/>
      <c r="X13" s="227"/>
      <c r="Y13" s="227"/>
      <c r="Z13" s="227"/>
      <c r="AA13" s="227"/>
      <c r="AB13" s="3064"/>
      <c r="AC13" s="3155"/>
      <c r="AD13" s="3155"/>
      <c r="AE13" s="3155"/>
      <c r="AF13" s="3173"/>
      <c r="AG13" s="3174"/>
      <c r="AH13" s="3175" t="s">
        <v>7</v>
      </c>
      <c r="AI13" s="1124"/>
      <c r="AJ13" s="1125" t="s">
        <v>8</v>
      </c>
    </row>
    <row r="14" spans="1:254" ht="16.5" customHeight="1">
      <c r="A14" s="218"/>
      <c r="B14" s="218"/>
      <c r="C14" s="754" t="s">
        <v>123</v>
      </c>
      <c r="D14" s="227"/>
      <c r="E14" s="754" t="s">
        <v>124</v>
      </c>
      <c r="F14" s="227"/>
      <c r="G14" s="754" t="s">
        <v>125</v>
      </c>
      <c r="H14" s="227"/>
      <c r="I14" s="754" t="s">
        <v>126</v>
      </c>
      <c r="J14" s="227"/>
      <c r="K14" s="754" t="s">
        <v>127</v>
      </c>
      <c r="L14" s="227"/>
      <c r="M14" s="754" t="s">
        <v>142</v>
      </c>
      <c r="N14" s="227"/>
      <c r="O14" s="754" t="s">
        <v>143</v>
      </c>
      <c r="P14" s="227"/>
      <c r="Q14" s="754" t="s">
        <v>130</v>
      </c>
      <c r="R14" s="227"/>
      <c r="S14" s="754" t="s">
        <v>131</v>
      </c>
      <c r="T14" s="227"/>
      <c r="U14" s="754" t="s">
        <v>132</v>
      </c>
      <c r="V14" s="227"/>
      <c r="W14" s="754" t="s">
        <v>133</v>
      </c>
      <c r="X14" s="227"/>
      <c r="Y14" s="754" t="s">
        <v>184</v>
      </c>
      <c r="Z14" s="227"/>
      <c r="AA14" s="227"/>
      <c r="AB14" s="3156">
        <f>'Cashflow Governmental'!AB14</f>
        <v>2022</v>
      </c>
      <c r="AC14" s="1685" t="s">
        <v>14</v>
      </c>
      <c r="AD14" s="1685"/>
      <c r="AE14" s="3156">
        <f>'Cashflow Governmental'!AE14</f>
        <v>2021</v>
      </c>
      <c r="AF14" s="3176"/>
      <c r="AG14" s="3177"/>
      <c r="AH14" s="3178" t="s">
        <v>11</v>
      </c>
      <c r="AI14" s="1127"/>
      <c r="AJ14" s="1126" t="s">
        <v>12</v>
      </c>
    </row>
    <row r="15" spans="1:254" ht="4.5" customHeight="1">
      <c r="A15" s="218"/>
      <c r="B15" s="218"/>
      <c r="C15" s="223"/>
      <c r="D15" s="218"/>
      <c r="E15" s="223"/>
      <c r="F15" s="218"/>
      <c r="G15" s="223"/>
      <c r="H15" s="218"/>
      <c r="I15" s="223"/>
      <c r="J15" s="218"/>
      <c r="K15" s="223"/>
      <c r="L15" s="218"/>
      <c r="M15" s="223"/>
      <c r="N15" s="218"/>
      <c r="O15" s="223" t="s">
        <v>14</v>
      </c>
      <c r="P15" s="218"/>
      <c r="Q15" s="223"/>
      <c r="R15" s="218"/>
      <c r="S15" s="223"/>
      <c r="T15" s="218"/>
      <c r="U15" s="223" t="s">
        <v>14</v>
      </c>
      <c r="V15" s="218"/>
      <c r="W15" s="223"/>
      <c r="X15" s="218"/>
      <c r="Y15" s="223"/>
      <c r="Z15" s="218"/>
      <c r="AA15" s="218"/>
      <c r="AB15" s="3157"/>
      <c r="AC15" s="1686"/>
      <c r="AD15" s="1686"/>
      <c r="AE15" s="3157"/>
      <c r="AF15" s="3176"/>
      <c r="AG15" s="3177"/>
    </row>
    <row r="16" spans="1:254" ht="16.5" customHeight="1">
      <c r="A16" s="224" t="s">
        <v>135</v>
      </c>
      <c r="B16" s="218"/>
      <c r="C16" s="2120">
        <v>328</v>
      </c>
      <c r="D16" s="225"/>
      <c r="E16" s="225">
        <f>C51</f>
        <v>330.9</v>
      </c>
      <c r="F16" s="356"/>
      <c r="G16" s="225">
        <f>E51</f>
        <v>267</v>
      </c>
      <c r="H16" s="356"/>
      <c r="I16" s="225">
        <f>G51</f>
        <v>283.60000000000002</v>
      </c>
      <c r="J16" s="225"/>
      <c r="K16" s="225">
        <f>I51</f>
        <v>287.10000000000002</v>
      </c>
      <c r="L16" s="356"/>
      <c r="M16" s="225">
        <f>K51</f>
        <v>230.7</v>
      </c>
      <c r="N16" s="356"/>
      <c r="O16" s="225">
        <f>M51</f>
        <v>269.10000000000002</v>
      </c>
      <c r="P16" s="356"/>
      <c r="Q16" s="225">
        <f>O51</f>
        <v>293.8</v>
      </c>
      <c r="R16" s="356"/>
      <c r="S16" s="225">
        <f>Q51</f>
        <v>265.10000000000002</v>
      </c>
      <c r="T16" s="356"/>
      <c r="U16" s="225">
        <f>S51</f>
        <v>279.2</v>
      </c>
      <c r="V16" s="356"/>
      <c r="W16" s="225"/>
      <c r="X16" s="356"/>
      <c r="Y16" s="225"/>
      <c r="Z16" s="225"/>
      <c r="AA16" s="226"/>
      <c r="AB16" s="3158">
        <f>C16</f>
        <v>328</v>
      </c>
      <c r="AC16" s="3158"/>
      <c r="AD16" s="3179"/>
      <c r="AE16" s="2120">
        <v>29.700000000000017</v>
      </c>
      <c r="AF16" s="1667"/>
      <c r="AG16" s="1651"/>
      <c r="AH16" s="1640">
        <f>ROUND(SUM(AB16-AE16),1)</f>
        <v>298.3</v>
      </c>
      <c r="AJ16" s="3817">
        <f>ROUND(IF(AH16=0,0,AH16/(AE16)),3)</f>
        <v>10.044</v>
      </c>
    </row>
    <row r="17" spans="1:38" ht="16.5" customHeight="1">
      <c r="A17" s="218"/>
      <c r="B17" s="218"/>
      <c r="C17" s="218" t="s">
        <v>14</v>
      </c>
      <c r="D17" s="218"/>
      <c r="E17" s="228"/>
      <c r="F17" s="228"/>
      <c r="G17" s="228"/>
      <c r="H17" s="228"/>
      <c r="I17" s="228"/>
      <c r="J17" s="228"/>
      <c r="K17" s="228"/>
      <c r="L17" s="228"/>
      <c r="M17" s="228"/>
      <c r="N17" s="228"/>
      <c r="O17" s="228"/>
      <c r="P17" s="228"/>
      <c r="Q17" s="228"/>
      <c r="R17" s="228"/>
      <c r="S17" s="228"/>
      <c r="T17" s="228"/>
      <c r="U17" s="228"/>
      <c r="V17" s="228"/>
      <c r="W17" s="228"/>
      <c r="X17" s="228"/>
      <c r="Y17" s="228"/>
      <c r="Z17" s="218"/>
      <c r="AA17" s="229"/>
      <c r="AB17" s="1686" t="s">
        <v>14</v>
      </c>
      <c r="AC17" s="1686"/>
      <c r="AD17" s="3180"/>
      <c r="AE17" s="1686" t="s">
        <v>14</v>
      </c>
      <c r="AF17" s="1679"/>
      <c r="AG17" s="1651"/>
      <c r="AH17" s="3181"/>
      <c r="AJ17" s="3565"/>
    </row>
    <row r="18" spans="1:38" ht="16.5" customHeight="1">
      <c r="A18" s="227" t="s">
        <v>13</v>
      </c>
      <c r="B18" s="218"/>
      <c r="C18" s="218"/>
      <c r="D18" s="218"/>
      <c r="E18" s="228"/>
      <c r="F18" s="228"/>
      <c r="G18" s="228"/>
      <c r="H18" s="228"/>
      <c r="I18" s="228"/>
      <c r="J18" s="228"/>
      <c r="K18" s="228"/>
      <c r="L18" s="228"/>
      <c r="M18" s="228"/>
      <c r="N18" s="228"/>
      <c r="O18" s="228"/>
      <c r="P18" s="228"/>
      <c r="Q18" s="228"/>
      <c r="R18" s="228"/>
      <c r="S18" s="228"/>
      <c r="T18" s="228"/>
      <c r="U18" s="228"/>
      <c r="V18" s="228"/>
      <c r="W18" s="228"/>
      <c r="X18" s="228"/>
      <c r="Y18" s="228"/>
      <c r="Z18" s="218"/>
      <c r="AA18" s="229"/>
      <c r="AB18" s="1686"/>
      <c r="AC18" s="1686"/>
      <c r="AD18" s="3180"/>
      <c r="AE18" s="1686"/>
      <c r="AF18" s="1652"/>
      <c r="AG18" s="1651"/>
      <c r="AH18" s="3181"/>
      <c r="AJ18" s="3565"/>
    </row>
    <row r="19" spans="1:38" ht="18.75" customHeight="1">
      <c r="A19" s="218" t="s">
        <v>177</v>
      </c>
      <c r="B19" s="218"/>
      <c r="C19" s="230">
        <v>261.8</v>
      </c>
      <c r="D19" s="230"/>
      <c r="E19" s="230">
        <v>200.8</v>
      </c>
      <c r="F19" s="239"/>
      <c r="G19" s="230">
        <v>211.79999999999995</v>
      </c>
      <c r="H19" s="239"/>
      <c r="I19" s="230">
        <v>257.90000000000003</v>
      </c>
      <c r="J19" s="239"/>
      <c r="K19" s="230">
        <v>195.10000000000019</v>
      </c>
      <c r="L19" s="239"/>
      <c r="M19" s="230">
        <v>307.69999999999982</v>
      </c>
      <c r="N19" s="239"/>
      <c r="O19" s="230">
        <v>253.80000000000018</v>
      </c>
      <c r="P19" s="239"/>
      <c r="Q19" s="1682">
        <v>196.89999999999986</v>
      </c>
      <c r="R19" s="239"/>
      <c r="S19" s="1682">
        <v>317.60000000000014</v>
      </c>
      <c r="T19" s="239"/>
      <c r="U19" s="1682">
        <f>$AB19-$C19-$E19-$G19-$I19-$K19-$M19-$O19-S19-Q19</f>
        <v>245.69999999999959</v>
      </c>
      <c r="V19" s="239"/>
      <c r="W19" s="1682"/>
      <c r="X19" s="239"/>
      <c r="Y19" s="1682"/>
      <c r="Z19" s="230"/>
      <c r="AA19" s="231"/>
      <c r="AB19" s="2089">
        <v>2449.1</v>
      </c>
      <c r="AC19" s="1541"/>
      <c r="AD19" s="1688"/>
      <c r="AE19" s="2089">
        <v>58</v>
      </c>
      <c r="AF19" s="1559"/>
      <c r="AG19" s="1651"/>
      <c r="AH19" s="3182">
        <f>ROUND(AB19-AE19,1)</f>
        <v>2391.1</v>
      </c>
      <c r="AI19" s="1130"/>
      <c r="AJ19" s="3813">
        <f>ROUND(IF(AE19=0,0,AH19/ABS(AE19)),3)</f>
        <v>41.225999999999999</v>
      </c>
    </row>
    <row r="20" spans="1:38" ht="17.25" customHeight="1">
      <c r="A20" s="224" t="s">
        <v>215</v>
      </c>
      <c r="B20" s="218"/>
      <c r="C20" s="230">
        <v>4691.3999999999996</v>
      </c>
      <c r="D20" s="230"/>
      <c r="E20" s="230">
        <v>4264.1000000000004</v>
      </c>
      <c r="F20" s="239"/>
      <c r="G20" s="230">
        <v>5008.2000000000007</v>
      </c>
      <c r="H20" s="239"/>
      <c r="I20" s="230">
        <v>3973.0999999999985</v>
      </c>
      <c r="J20" s="239"/>
      <c r="K20" s="230">
        <v>4570.9000000000033</v>
      </c>
      <c r="L20" s="239"/>
      <c r="M20" s="230">
        <v>1186.3999999999942</v>
      </c>
      <c r="N20" s="239"/>
      <c r="O20" s="230">
        <v>111.20000000000437</v>
      </c>
      <c r="P20" s="239"/>
      <c r="Q20" s="1682">
        <v>50</v>
      </c>
      <c r="R20" s="239"/>
      <c r="S20" s="1682">
        <v>45.099999999998545</v>
      </c>
      <c r="T20" s="239"/>
      <c r="U20" s="1682">
        <f t="shared" ref="U20:U21" si="0">$AB20-$C20-$E20-$G20-$I20-$K20-$M20-$O20-S20-Q20</f>
        <v>28.200000000004366</v>
      </c>
      <c r="V20" s="239"/>
      <c r="W20" s="1682"/>
      <c r="X20" s="239"/>
      <c r="Y20" s="1682"/>
      <c r="Z20" s="230"/>
      <c r="AA20" s="231"/>
      <c r="AB20" s="2089">
        <v>23928.600000000002</v>
      </c>
      <c r="AC20" s="1541"/>
      <c r="AD20" s="1688"/>
      <c r="AE20" s="2089">
        <v>45943.8</v>
      </c>
      <c r="AF20" s="1559"/>
      <c r="AG20" s="1651"/>
      <c r="AH20" s="3182">
        <f>ROUND(AB20-AE20,1)</f>
        <v>-22015.200000000001</v>
      </c>
      <c r="AI20" s="1130"/>
      <c r="AJ20" s="3813">
        <f>ROUND(IF(AE20=0,0,AH20/ABS(AE20)),3)</f>
        <v>-0.47899999999999998</v>
      </c>
    </row>
    <row r="21" spans="1:38" ht="17.25" customHeight="1">
      <c r="A21" s="241" t="s">
        <v>216</v>
      </c>
      <c r="B21" s="218"/>
      <c r="C21" s="230">
        <v>218.5</v>
      </c>
      <c r="D21" s="230"/>
      <c r="E21" s="230">
        <v>313.60000000000002</v>
      </c>
      <c r="F21" s="239"/>
      <c r="G21" s="230">
        <v>390.79999999999995</v>
      </c>
      <c r="H21" s="239"/>
      <c r="I21" s="230">
        <v>315.00000000000011</v>
      </c>
      <c r="J21" s="239"/>
      <c r="K21" s="230">
        <v>350.50000000000011</v>
      </c>
      <c r="L21" s="239"/>
      <c r="M21" s="230">
        <v>239.39999999999964</v>
      </c>
      <c r="N21" s="239"/>
      <c r="O21" s="230">
        <v>196.20000000000027</v>
      </c>
      <c r="P21" s="239"/>
      <c r="Q21" s="1682">
        <v>215.90000000000009</v>
      </c>
      <c r="R21" s="239"/>
      <c r="S21" s="1682">
        <v>205.6999999999997</v>
      </c>
      <c r="T21" s="239"/>
      <c r="U21" s="1682">
        <f t="shared" si="0"/>
        <v>256.60000000000002</v>
      </c>
      <c r="V21" s="239"/>
      <c r="W21" s="1682"/>
      <c r="X21" s="239"/>
      <c r="Y21" s="1682"/>
      <c r="Z21" s="230"/>
      <c r="AA21" s="231"/>
      <c r="AB21" s="2089">
        <v>2702.2</v>
      </c>
      <c r="AC21" s="1541"/>
      <c r="AD21" s="1688"/>
      <c r="AE21" s="2089">
        <v>14144.6</v>
      </c>
      <c r="AF21" s="1654"/>
      <c r="AG21" s="1657"/>
      <c r="AH21" s="3183">
        <f>ROUND(AB21-AE21,1)</f>
        <v>-11442.4</v>
      </c>
      <c r="AI21" s="1130"/>
      <c r="AJ21" s="3616">
        <f>ROUND(IF(AE21=0,0,AH21/ABS(AE21)),3)</f>
        <v>-0.80900000000000005</v>
      </c>
    </row>
    <row r="22" spans="1:38" ht="16.5" customHeight="1">
      <c r="A22" s="218"/>
      <c r="B22" s="218"/>
      <c r="C22" s="359"/>
      <c r="D22" s="230"/>
      <c r="E22" s="360"/>
      <c r="F22" s="239"/>
      <c r="G22" s="360"/>
      <c r="H22" s="239"/>
      <c r="I22" s="360"/>
      <c r="J22" s="239"/>
      <c r="K22" s="360"/>
      <c r="L22" s="239"/>
      <c r="M22" s="360"/>
      <c r="N22" s="239"/>
      <c r="O22" s="360"/>
      <c r="P22" s="239"/>
      <c r="Q22" s="360"/>
      <c r="R22" s="239"/>
      <c r="S22" s="360"/>
      <c r="T22" s="239"/>
      <c r="U22" s="360"/>
      <c r="V22" s="239"/>
      <c r="W22" s="1684"/>
      <c r="X22" s="239"/>
      <c r="Y22" s="360"/>
      <c r="Z22" s="230"/>
      <c r="AA22" s="231"/>
      <c r="AB22" s="3159"/>
      <c r="AC22" s="1541"/>
      <c r="AD22" s="1688"/>
      <c r="AE22" s="3159"/>
      <c r="AF22" s="1557"/>
      <c r="AG22" s="1657"/>
      <c r="AH22" s="1668"/>
      <c r="AJ22" s="3565"/>
    </row>
    <row r="23" spans="1:38" ht="16.5" customHeight="1">
      <c r="A23" s="227" t="s">
        <v>149</v>
      </c>
      <c r="B23" s="218"/>
      <c r="C23" s="240">
        <f>ROUND(SUM(C19:C22),1)</f>
        <v>5171.7</v>
      </c>
      <c r="D23" s="232"/>
      <c r="E23" s="240">
        <f>ROUND(SUM(E19:E22),1)</f>
        <v>4778.5</v>
      </c>
      <c r="F23" s="240"/>
      <c r="G23" s="240">
        <f>ROUND(SUM(G19:G22),1)</f>
        <v>5610.8</v>
      </c>
      <c r="H23" s="240"/>
      <c r="I23" s="240">
        <f>ROUND(SUM(I19:I22),1)</f>
        <v>4546</v>
      </c>
      <c r="J23" s="240"/>
      <c r="K23" s="240">
        <f>ROUND(SUM(K19:K22),1)</f>
        <v>5116.5</v>
      </c>
      <c r="L23" s="240"/>
      <c r="M23" s="240">
        <f>ROUND(SUM(M19:M22),1)</f>
        <v>1733.5</v>
      </c>
      <c r="N23" s="240"/>
      <c r="O23" s="240">
        <f>ROUND(SUM(O19:O22),1)</f>
        <v>561.20000000000005</v>
      </c>
      <c r="P23" s="240"/>
      <c r="Q23" s="240">
        <f>ROUND(SUM(Q19:Q22),1)</f>
        <v>462.8</v>
      </c>
      <c r="R23" s="240"/>
      <c r="S23" s="240">
        <f>ROUND(SUM(S19:S22),1)</f>
        <v>568.4</v>
      </c>
      <c r="T23" s="240"/>
      <c r="U23" s="240">
        <f>ROUND(SUM(U19:U22),1)</f>
        <v>530.5</v>
      </c>
      <c r="V23" s="240"/>
      <c r="W23" s="3160">
        <f>ROUND(SUM(W19:W22),1)</f>
        <v>0</v>
      </c>
      <c r="X23" s="240"/>
      <c r="Y23" s="240">
        <f>ROUND(SUM(Y19:Y22),1)</f>
        <v>0</v>
      </c>
      <c r="Z23" s="232"/>
      <c r="AA23" s="233"/>
      <c r="AB23" s="3160">
        <f>ROUND(SUM(AB19:AB22),1)</f>
        <v>29079.9</v>
      </c>
      <c r="AC23" s="3161"/>
      <c r="AD23" s="3184"/>
      <c r="AE23" s="3160">
        <f>ROUND(SUM(AE19:AE22),1)</f>
        <v>60146.400000000001</v>
      </c>
      <c r="AF23" s="1654"/>
      <c r="AG23" s="1657"/>
      <c r="AH23" s="3185">
        <f>ROUND(SUM(AH19:AH21),1)</f>
        <v>-31066.5</v>
      </c>
      <c r="AI23" s="1132"/>
      <c r="AJ23" s="3570">
        <f>ROUND(IF(AH23=0,0,AH23/ABS(AE23)),3)</f>
        <v>-0.51700000000000002</v>
      </c>
      <c r="AK23" s="357"/>
      <c r="AL23" s="357"/>
    </row>
    <row r="24" spans="1:38" ht="16.5" customHeight="1">
      <c r="A24" s="218"/>
      <c r="B24" s="218"/>
      <c r="C24" s="359"/>
      <c r="D24" s="230"/>
      <c r="E24" s="360"/>
      <c r="F24" s="239"/>
      <c r="G24" s="360"/>
      <c r="H24" s="239"/>
      <c r="I24" s="360"/>
      <c r="J24" s="239"/>
      <c r="K24" s="360"/>
      <c r="L24" s="239"/>
      <c r="M24" s="360"/>
      <c r="N24" s="239"/>
      <c r="O24" s="360"/>
      <c r="P24" s="239"/>
      <c r="Q24" s="360"/>
      <c r="R24" s="239"/>
      <c r="S24" s="360"/>
      <c r="T24" s="239"/>
      <c r="U24" s="360"/>
      <c r="V24" s="239"/>
      <c r="W24" s="360"/>
      <c r="X24" s="239"/>
      <c r="Y24" s="360"/>
      <c r="Z24" s="230"/>
      <c r="AA24" s="231"/>
      <c r="AB24" s="3159"/>
      <c r="AC24" s="1541"/>
      <c r="AD24" s="1688"/>
      <c r="AE24" s="3159"/>
      <c r="AF24" s="2176"/>
      <c r="AG24" s="1657"/>
      <c r="AH24" s="1668"/>
      <c r="AJ24" s="3565"/>
    </row>
    <row r="25" spans="1:38" ht="16.5" customHeight="1">
      <c r="A25" s="218"/>
      <c r="B25" s="218"/>
      <c r="C25" s="230"/>
      <c r="D25" s="230"/>
      <c r="E25" s="239"/>
      <c r="F25" s="239"/>
      <c r="G25" s="239"/>
      <c r="H25" s="239"/>
      <c r="I25" s="239"/>
      <c r="J25" s="239"/>
      <c r="K25" s="239"/>
      <c r="L25" s="239"/>
      <c r="M25" s="239"/>
      <c r="N25" s="239"/>
      <c r="O25" s="239"/>
      <c r="P25" s="239"/>
      <c r="Q25" s="239"/>
      <c r="R25" s="239"/>
      <c r="S25" s="239"/>
      <c r="T25" s="239"/>
      <c r="U25" s="239"/>
      <c r="V25" s="239"/>
      <c r="W25" s="239"/>
      <c r="X25" s="239"/>
      <c r="Y25" s="239"/>
      <c r="Z25" s="230"/>
      <c r="AA25" s="231"/>
      <c r="AB25" s="1541"/>
      <c r="AC25" s="1541"/>
      <c r="AD25" s="1688"/>
      <c r="AE25" s="1541"/>
      <c r="AF25" s="1652"/>
      <c r="AG25" s="1651"/>
      <c r="AH25" s="1668"/>
      <c r="AJ25" s="3566"/>
    </row>
    <row r="26" spans="1:38" ht="16.5" customHeight="1">
      <c r="A26" s="227" t="s">
        <v>22</v>
      </c>
      <c r="B26" s="218"/>
      <c r="C26" s="230"/>
      <c r="D26" s="230"/>
      <c r="E26" s="239"/>
      <c r="F26" s="239"/>
      <c r="G26" s="239"/>
      <c r="H26" s="239"/>
      <c r="I26" s="239"/>
      <c r="J26" s="239"/>
      <c r="K26" s="239"/>
      <c r="L26" s="239"/>
      <c r="M26" s="239"/>
      <c r="N26" s="239"/>
      <c r="O26" s="239"/>
      <c r="P26" s="239"/>
      <c r="Q26" s="239"/>
      <c r="R26" s="239"/>
      <c r="S26" s="239"/>
      <c r="T26" s="239"/>
      <c r="U26" s="239"/>
      <c r="V26" s="239"/>
      <c r="W26" s="239"/>
      <c r="X26" s="1683"/>
      <c r="Y26" s="1683"/>
      <c r="Z26" s="1541"/>
      <c r="AA26" s="1688"/>
      <c r="AB26" s="1541"/>
      <c r="AC26" s="1541"/>
      <c r="AD26" s="1688"/>
      <c r="AE26" s="1541"/>
      <c r="AF26" s="1559"/>
      <c r="AG26" s="1651"/>
      <c r="AH26" s="1668"/>
      <c r="AI26" s="1135"/>
      <c r="AJ26" s="3566"/>
    </row>
    <row r="27" spans="1:38" ht="16.5" customHeight="1">
      <c r="A27" s="218" t="s">
        <v>151</v>
      </c>
      <c r="B27" s="218"/>
      <c r="C27" s="230"/>
      <c r="D27" s="230"/>
      <c r="E27" s="230"/>
      <c r="F27" s="239"/>
      <c r="G27" s="239"/>
      <c r="H27" s="239"/>
      <c r="I27" s="239"/>
      <c r="J27" s="239"/>
      <c r="K27" s="239"/>
      <c r="L27" s="239"/>
      <c r="M27" s="239"/>
      <c r="N27" s="239"/>
      <c r="O27" s="239"/>
      <c r="P27" s="239"/>
      <c r="Q27" s="239"/>
      <c r="R27" s="239"/>
      <c r="S27" s="1682"/>
      <c r="T27" s="239"/>
      <c r="U27" s="239"/>
      <c r="V27" s="239"/>
      <c r="W27" s="239"/>
      <c r="X27" s="1683"/>
      <c r="Y27" s="1683"/>
      <c r="Z27" s="1541"/>
      <c r="AA27" s="1688"/>
      <c r="AB27" s="1541"/>
      <c r="AC27" s="1541"/>
      <c r="AD27" s="1688"/>
      <c r="AE27" s="1541"/>
      <c r="AF27" s="2179"/>
      <c r="AG27" s="1657"/>
      <c r="AH27" s="1668"/>
      <c r="AJ27" s="3566"/>
    </row>
    <row r="28" spans="1:38" ht="16.5" customHeight="1">
      <c r="A28" s="218" t="s">
        <v>217</v>
      </c>
      <c r="B28" s="218"/>
      <c r="C28" s="230">
        <v>128.30000000000001</v>
      </c>
      <c r="D28" s="230"/>
      <c r="E28" s="230">
        <v>126.79999999999998</v>
      </c>
      <c r="F28" s="239"/>
      <c r="G28" s="230">
        <v>112.00000000000003</v>
      </c>
      <c r="H28" s="239"/>
      <c r="I28" s="230">
        <v>187.1999999999999</v>
      </c>
      <c r="J28" s="239"/>
      <c r="K28" s="230">
        <v>113.10000000000005</v>
      </c>
      <c r="L28" s="239"/>
      <c r="M28" s="230">
        <v>131</v>
      </c>
      <c r="N28" s="239"/>
      <c r="O28" s="230">
        <v>149.70000000000005</v>
      </c>
      <c r="P28" s="239"/>
      <c r="Q28" s="1682">
        <v>132.5</v>
      </c>
      <c r="R28" s="239"/>
      <c r="S28" s="1682">
        <v>188.20000000000005</v>
      </c>
      <c r="T28" s="239"/>
      <c r="U28" s="1682">
        <f t="shared" ref="U28:U31" si="1">$AB28-$C28-$E28-$G28-$I28-$K28-$M28-$O28-S28-Q28</f>
        <v>112</v>
      </c>
      <c r="V28" s="239"/>
      <c r="W28" s="1682"/>
      <c r="X28" s="1683"/>
      <c r="Y28" s="1682"/>
      <c r="Z28" s="1541"/>
      <c r="AA28" s="1688"/>
      <c r="AB28" s="2089">
        <v>1380.8</v>
      </c>
      <c r="AC28" s="1541"/>
      <c r="AD28" s="1688"/>
      <c r="AE28" s="2089">
        <v>11.100000000000136</v>
      </c>
      <c r="AF28" s="1652"/>
      <c r="AG28" s="1662"/>
      <c r="AH28" s="1668">
        <f>ROUND(SUM(AB28-AE28),1)</f>
        <v>1369.7</v>
      </c>
      <c r="AJ28" s="3812">
        <f>ROUND(IF(AH28=0,0,AH28/ABS(AE28)),3)</f>
        <v>123.396</v>
      </c>
    </row>
    <row r="29" spans="1:38" ht="16.5" customHeight="1">
      <c r="A29" s="218" t="s">
        <v>178</v>
      </c>
      <c r="B29" s="218"/>
      <c r="C29" s="230">
        <v>22.1</v>
      </c>
      <c r="D29" s="230"/>
      <c r="E29" s="230">
        <v>32.9</v>
      </c>
      <c r="F29" s="239"/>
      <c r="G29" s="230">
        <v>35.1</v>
      </c>
      <c r="H29" s="239"/>
      <c r="I29" s="230">
        <v>21.099999999999994</v>
      </c>
      <c r="J29" s="239"/>
      <c r="K29" s="230">
        <v>40.70000000000001</v>
      </c>
      <c r="L29" s="239"/>
      <c r="M29" s="230">
        <v>91.699999999999989</v>
      </c>
      <c r="N29" s="239"/>
      <c r="O29" s="230">
        <v>21.299999999999983</v>
      </c>
      <c r="P29" s="239"/>
      <c r="Q29" s="1682">
        <v>37.400000000000006</v>
      </c>
      <c r="R29" s="239"/>
      <c r="S29" s="1682">
        <v>28.500000000000028</v>
      </c>
      <c r="T29" s="239"/>
      <c r="U29" s="1682">
        <f t="shared" si="1"/>
        <v>37.199999999999932</v>
      </c>
      <c r="V29" s="239"/>
      <c r="W29" s="1682"/>
      <c r="X29" s="1683"/>
      <c r="Y29" s="1682"/>
      <c r="Z29" s="1541"/>
      <c r="AA29" s="1688"/>
      <c r="AB29" s="2089">
        <v>368</v>
      </c>
      <c r="AC29" s="1541"/>
      <c r="AD29" s="1688"/>
      <c r="AE29" s="2089">
        <v>44</v>
      </c>
      <c r="AF29" s="1559"/>
      <c r="AG29" s="1662"/>
      <c r="AH29" s="1668">
        <f>ROUND(SUM(AB29-AE29),1)</f>
        <v>324</v>
      </c>
      <c r="AJ29" s="3812">
        <f t="shared" ref="AJ29:AJ30" si="2">ROUND(IF(AH29=0,0,AH29/ABS(AE29)),3)</f>
        <v>7.3639999999999999</v>
      </c>
    </row>
    <row r="30" spans="1:38" ht="16.5" customHeight="1">
      <c r="A30" s="218" t="s">
        <v>154</v>
      </c>
      <c r="B30" s="218"/>
      <c r="C30" s="230">
        <v>54.3</v>
      </c>
      <c r="D30" s="230"/>
      <c r="E30" s="230">
        <v>58.7</v>
      </c>
      <c r="F30" s="239"/>
      <c r="G30" s="230">
        <v>50.800000000000011</v>
      </c>
      <c r="H30" s="239"/>
      <c r="I30" s="230">
        <v>47.899999999999963</v>
      </c>
      <c r="J30" s="239"/>
      <c r="K30" s="230">
        <v>92.59999999999998</v>
      </c>
      <c r="L30" s="239"/>
      <c r="M30" s="230">
        <v>51.000000000000043</v>
      </c>
      <c r="N30" s="239"/>
      <c r="O30" s="230">
        <v>58.499999999999943</v>
      </c>
      <c r="P30" s="239"/>
      <c r="Q30" s="1682">
        <v>54.900000000000048</v>
      </c>
      <c r="R30" s="239"/>
      <c r="S30" s="1682">
        <v>87.599999999999952</v>
      </c>
      <c r="T30" s="239"/>
      <c r="U30" s="1682">
        <f t="shared" si="1"/>
        <v>59.10000000000008</v>
      </c>
      <c r="V30" s="239"/>
      <c r="W30" s="1682"/>
      <c r="X30" s="1683"/>
      <c r="Y30" s="1682"/>
      <c r="Z30" s="1541"/>
      <c r="AA30" s="1688"/>
      <c r="AB30" s="2089">
        <v>615.4</v>
      </c>
      <c r="AC30" s="1541"/>
      <c r="AD30" s="1688"/>
      <c r="AE30" s="2089">
        <v>1.3999999999999631</v>
      </c>
      <c r="AF30" s="1654"/>
      <c r="AG30" s="1661"/>
      <c r="AH30" s="1668">
        <f>ROUND(SUM(AB30-AE30),1)</f>
        <v>614</v>
      </c>
      <c r="AJ30" s="3812">
        <f t="shared" si="2"/>
        <v>438.57100000000003</v>
      </c>
    </row>
    <row r="31" spans="1:38" ht="16.5" customHeight="1">
      <c r="A31" s="241" t="s">
        <v>218</v>
      </c>
      <c r="B31" s="218"/>
      <c r="C31" s="230">
        <v>4967.1000000000004</v>
      </c>
      <c r="D31" s="230"/>
      <c r="E31" s="230">
        <v>4624</v>
      </c>
      <c r="F31" s="239"/>
      <c r="G31" s="230">
        <v>5396.2999999999993</v>
      </c>
      <c r="H31" s="239"/>
      <c r="I31" s="230">
        <v>4290.3000000000011</v>
      </c>
      <c r="J31" s="239"/>
      <c r="K31" s="230">
        <v>4926.4999999999982</v>
      </c>
      <c r="L31" s="239"/>
      <c r="M31" s="230">
        <v>1421.4000000000015</v>
      </c>
      <c r="N31" s="239"/>
      <c r="O31" s="230">
        <v>307</v>
      </c>
      <c r="P31" s="239"/>
      <c r="Q31" s="1682">
        <v>266.69999999999709</v>
      </c>
      <c r="R31" s="239"/>
      <c r="S31" s="1682">
        <v>250</v>
      </c>
      <c r="T31" s="239"/>
      <c r="U31" s="1682">
        <f t="shared" si="1"/>
        <v>284.80000000000291</v>
      </c>
      <c r="V31" s="239"/>
      <c r="W31" s="1682"/>
      <c r="X31" s="239"/>
      <c r="Y31" s="1682"/>
      <c r="Z31" s="230"/>
      <c r="AA31" s="231"/>
      <c r="AB31" s="2089">
        <v>26734.1</v>
      </c>
      <c r="AC31" s="1541"/>
      <c r="AD31" s="1688"/>
      <c r="AE31" s="2089">
        <v>60079.6</v>
      </c>
      <c r="AF31" s="1654"/>
      <c r="AG31" s="1662"/>
      <c r="AH31" s="1680">
        <f>ROUND(SUM(AB31-AE31),1)</f>
        <v>-33345.5</v>
      </c>
      <c r="AJ31" s="3571">
        <f>ROUND(IF(AH31=0,0,AH31/ABS(AE31)),3)</f>
        <v>-0.55500000000000005</v>
      </c>
    </row>
    <row r="32" spans="1:38" ht="16.5" customHeight="1">
      <c r="A32" s="218"/>
      <c r="B32" s="218"/>
      <c r="C32" s="359"/>
      <c r="D32" s="230"/>
      <c r="E32" s="360"/>
      <c r="F32" s="239"/>
      <c r="G32" s="360"/>
      <c r="H32" s="239"/>
      <c r="I32" s="360"/>
      <c r="J32" s="239"/>
      <c r="K32" s="360"/>
      <c r="L32" s="239"/>
      <c r="M32" s="360"/>
      <c r="N32" s="239"/>
      <c r="O32" s="360"/>
      <c r="P32" s="239"/>
      <c r="Q32" s="360"/>
      <c r="R32" s="239"/>
      <c r="S32" s="360"/>
      <c r="T32" s="239"/>
      <c r="U32" s="360"/>
      <c r="V32" s="239"/>
      <c r="W32" s="1684"/>
      <c r="X32" s="239"/>
      <c r="Y32" s="360"/>
      <c r="Z32" s="230"/>
      <c r="AA32" s="231"/>
      <c r="AB32" s="3159"/>
      <c r="AC32" s="1541"/>
      <c r="AD32" s="1688"/>
      <c r="AE32" s="3159"/>
      <c r="AF32" s="2182"/>
      <c r="AG32" s="1661"/>
      <c r="AH32" s="1668"/>
      <c r="AI32" s="1137"/>
      <c r="AJ32" s="3566"/>
    </row>
    <row r="33" spans="1:37" ht="16.5" customHeight="1">
      <c r="A33" s="227" t="s">
        <v>155</v>
      </c>
      <c r="B33" s="218"/>
      <c r="C33" s="240">
        <f>ROUND(SUM(C28:C32),1)</f>
        <v>5171.8</v>
      </c>
      <c r="D33" s="232"/>
      <c r="E33" s="240">
        <f>ROUND(SUM(E28:E32),1)</f>
        <v>4842.3999999999996</v>
      </c>
      <c r="F33" s="240"/>
      <c r="G33" s="240">
        <f>ROUND(SUM(G28:G32),1)</f>
        <v>5594.2</v>
      </c>
      <c r="H33" s="240"/>
      <c r="I33" s="240">
        <f>ROUND(SUM(I28:I32),1)</f>
        <v>4546.5</v>
      </c>
      <c r="J33" s="240"/>
      <c r="K33" s="887">
        <f>ROUND(SUM(K28:K32),1)</f>
        <v>5172.8999999999996</v>
      </c>
      <c r="L33" s="361"/>
      <c r="M33" s="887">
        <f>ROUND(SUM(M28:M32),1)</f>
        <v>1695.1</v>
      </c>
      <c r="N33" s="240"/>
      <c r="O33" s="240">
        <f>ROUND(SUM(O28:O32),1)</f>
        <v>536.5</v>
      </c>
      <c r="P33" s="240"/>
      <c r="Q33" s="240">
        <f>ROUND(SUM(Q28:Q32),1)</f>
        <v>491.5</v>
      </c>
      <c r="R33" s="240"/>
      <c r="S33" s="240">
        <f>ROUND(SUM(S28:S32),1)</f>
        <v>554.29999999999995</v>
      </c>
      <c r="T33" s="240"/>
      <c r="U33" s="240">
        <f>ROUND(SUM(U28:U32),1)</f>
        <v>493.1</v>
      </c>
      <c r="V33" s="240"/>
      <c r="W33" s="3160">
        <f>ROUND(SUM(W28:W32),1)</f>
        <v>0</v>
      </c>
      <c r="X33" s="240"/>
      <c r="Y33" s="240">
        <f>ROUND(SUM(Y28:Y32),1)</f>
        <v>0</v>
      </c>
      <c r="Z33" s="232"/>
      <c r="AA33" s="233"/>
      <c r="AB33" s="3160">
        <f>ROUND(SUM(AB28:AB32),1)</f>
        <v>29098.3</v>
      </c>
      <c r="AC33" s="3161"/>
      <c r="AD33" s="3184"/>
      <c r="AE33" s="3160">
        <f>ROUND(SUM(AE28:AE32),1)</f>
        <v>60136.1</v>
      </c>
      <c r="AF33" s="1652"/>
      <c r="AG33" s="1651"/>
      <c r="AH33" s="3185">
        <f>ROUND(SUM(AH28:AH31),1)</f>
        <v>-31037.8</v>
      </c>
      <c r="AI33" s="1132"/>
      <c r="AJ33" s="3570">
        <f>ROUND(IF(AH33=0,0,AH33/ABS(AE33)),3)</f>
        <v>-0.51600000000000001</v>
      </c>
      <c r="AK33" s="357"/>
    </row>
    <row r="34" spans="1:37" ht="16.5" customHeight="1">
      <c r="A34" s="218"/>
      <c r="B34" s="218"/>
      <c r="C34" s="359"/>
      <c r="D34" s="230"/>
      <c r="E34" s="360"/>
      <c r="F34" s="239"/>
      <c r="G34" s="360"/>
      <c r="H34" s="239"/>
      <c r="I34" s="360"/>
      <c r="J34" s="239"/>
      <c r="K34" s="237"/>
      <c r="L34" s="239"/>
      <c r="M34" s="237"/>
      <c r="N34" s="239"/>
      <c r="O34" s="360"/>
      <c r="P34" s="239"/>
      <c r="Q34" s="360"/>
      <c r="R34" s="239"/>
      <c r="S34" s="360"/>
      <c r="T34" s="239"/>
      <c r="U34" s="360"/>
      <c r="V34" s="239"/>
      <c r="W34" s="360"/>
      <c r="X34" s="239"/>
      <c r="Y34" s="360"/>
      <c r="Z34" s="230"/>
      <c r="AA34" s="231"/>
      <c r="AB34" s="3159"/>
      <c r="AC34" s="3162"/>
      <c r="AD34" s="1688"/>
      <c r="AE34" s="3159"/>
      <c r="AF34" s="1559"/>
      <c r="AG34" s="1651"/>
      <c r="AH34" s="1668"/>
      <c r="AJ34" s="3565"/>
    </row>
    <row r="35" spans="1:37" ht="16.5" customHeight="1">
      <c r="A35" s="218"/>
      <c r="B35" s="218"/>
      <c r="C35" s="230"/>
      <c r="D35" s="230"/>
      <c r="E35" s="239"/>
      <c r="F35" s="239"/>
      <c r="G35" s="239"/>
      <c r="H35" s="239"/>
      <c r="I35" s="239"/>
      <c r="J35" s="239"/>
      <c r="K35" s="239"/>
      <c r="L35" s="239"/>
      <c r="M35" s="239"/>
      <c r="N35" s="239"/>
      <c r="O35" s="239"/>
      <c r="P35" s="239"/>
      <c r="Q35" s="239"/>
      <c r="R35" s="239"/>
      <c r="S35" s="239"/>
      <c r="T35" s="239"/>
      <c r="U35" s="239"/>
      <c r="V35" s="239"/>
      <c r="W35" s="239"/>
      <c r="X35" s="239"/>
      <c r="Y35" s="239"/>
      <c r="Z35" s="230"/>
      <c r="AA35" s="231"/>
      <c r="AB35" s="1541"/>
      <c r="AC35" s="3162"/>
      <c r="AD35" s="1688"/>
      <c r="AE35" s="1541"/>
      <c r="AF35" s="2179"/>
      <c r="AG35" s="2184"/>
      <c r="AH35" s="1668"/>
      <c r="AI35" s="1135"/>
      <c r="AJ35" s="3566"/>
    </row>
    <row r="36" spans="1:37" ht="16.5" customHeight="1">
      <c r="A36" s="227" t="s">
        <v>156</v>
      </c>
      <c r="B36" s="218"/>
      <c r="C36" s="230"/>
      <c r="D36" s="230"/>
      <c r="E36" s="239" t="s">
        <v>14</v>
      </c>
      <c r="F36" s="239"/>
      <c r="G36" s="239"/>
      <c r="H36" s="239"/>
      <c r="I36" s="239"/>
      <c r="J36" s="239"/>
      <c r="K36" s="239"/>
      <c r="L36" s="239"/>
      <c r="M36" s="239"/>
      <c r="N36" s="239"/>
      <c r="O36" s="239"/>
      <c r="P36" s="239"/>
      <c r="Q36" s="239"/>
      <c r="R36" s="239"/>
      <c r="S36" s="239"/>
      <c r="T36" s="239"/>
      <c r="U36" s="239"/>
      <c r="V36" s="239"/>
      <c r="W36" s="239"/>
      <c r="X36" s="239"/>
      <c r="Y36" s="239"/>
      <c r="Z36" s="230"/>
      <c r="AA36" s="231"/>
      <c r="AB36" s="1541"/>
      <c r="AC36" s="3162"/>
      <c r="AD36" s="1688"/>
      <c r="AE36" s="1541"/>
      <c r="AF36" s="2185"/>
      <c r="AG36" s="2186"/>
      <c r="AH36" s="1668"/>
      <c r="AI36" s="1135"/>
      <c r="AJ36" s="3566"/>
    </row>
    <row r="37" spans="1:37" ht="16.5" customHeight="1">
      <c r="A37" s="227" t="s">
        <v>44</v>
      </c>
      <c r="B37" s="218"/>
      <c r="C37" s="240">
        <f>ROUND(C23-C33,1)</f>
        <v>-0.1</v>
      </c>
      <c r="D37" s="232"/>
      <c r="E37" s="240">
        <f>ROUND(E23-E33,1)</f>
        <v>-63.9</v>
      </c>
      <c r="F37" s="240"/>
      <c r="G37" s="240">
        <f>ROUND(G23-G33,1)</f>
        <v>16.600000000000001</v>
      </c>
      <c r="H37" s="240"/>
      <c r="I37" s="240">
        <f>ROUND(I23-I33,1)</f>
        <v>-0.5</v>
      </c>
      <c r="J37" s="240"/>
      <c r="K37" s="240">
        <f>ROUND(K23-K33,1)</f>
        <v>-56.4</v>
      </c>
      <c r="L37" s="240"/>
      <c r="M37" s="240">
        <f>ROUND(M23-M33,1)</f>
        <v>38.4</v>
      </c>
      <c r="N37" s="240"/>
      <c r="O37" s="240">
        <f>ROUND(O23-O33,1)</f>
        <v>24.7</v>
      </c>
      <c r="P37" s="240"/>
      <c r="Q37" s="240">
        <f>ROUND(Q23-Q33,1)</f>
        <v>-28.7</v>
      </c>
      <c r="R37" s="240"/>
      <c r="S37" s="240">
        <f>ROUND(S23-S33,1)</f>
        <v>14.1</v>
      </c>
      <c r="T37" s="240"/>
      <c r="U37" s="240">
        <f>ROUND(U23-U33,1)</f>
        <v>37.4</v>
      </c>
      <c r="V37" s="240"/>
      <c r="W37" s="240">
        <f>ROUND(W23-W33,1)</f>
        <v>0</v>
      </c>
      <c r="X37" s="240"/>
      <c r="Y37" s="240">
        <f>ROUND(Y23-Y33,1)</f>
        <v>0</v>
      </c>
      <c r="Z37" s="232"/>
      <c r="AA37" s="233"/>
      <c r="AB37" s="3160">
        <f>ROUND(AB23-AB33,1)</f>
        <v>-18.399999999999999</v>
      </c>
      <c r="AC37" s="3161"/>
      <c r="AD37" s="3184"/>
      <c r="AE37" s="3160">
        <f>ROUND(AE23-AE33,1)</f>
        <v>10.3</v>
      </c>
      <c r="AF37" s="2187"/>
      <c r="AG37" s="1689"/>
      <c r="AH37" s="3185">
        <f>ROUND(SUM(AH23-AH33),1)</f>
        <v>-28.7</v>
      </c>
      <c r="AI37" s="1132"/>
      <c r="AJ37" s="2098">
        <f>ROUND(IF(AE37=0,1,AH37/ABS(AE37)),3)</f>
        <v>-2.786</v>
      </c>
    </row>
    <row r="38" spans="1:37" ht="16.5" customHeight="1">
      <c r="A38" s="218"/>
      <c r="B38" s="218"/>
      <c r="C38" s="359"/>
      <c r="D38" s="230"/>
      <c r="E38" s="360"/>
      <c r="F38" s="239"/>
      <c r="G38" s="360"/>
      <c r="H38" s="239"/>
      <c r="I38" s="360"/>
      <c r="J38" s="239"/>
      <c r="K38" s="360"/>
      <c r="L38" s="239"/>
      <c r="M38" s="360"/>
      <c r="N38" s="239"/>
      <c r="O38" s="360"/>
      <c r="P38" s="239"/>
      <c r="Q38" s="360"/>
      <c r="R38" s="239"/>
      <c r="S38" s="360"/>
      <c r="T38" s="239"/>
      <c r="U38" s="360"/>
      <c r="V38" s="239"/>
      <c r="W38" s="360"/>
      <c r="X38" s="239"/>
      <c r="Y38" s="360"/>
      <c r="Z38" s="230"/>
      <c r="AA38" s="231"/>
      <c r="AB38" s="3159"/>
      <c r="AC38" s="3162"/>
      <c r="AD38" s="1688"/>
      <c r="AE38" s="3159"/>
      <c r="AF38" s="114"/>
      <c r="AG38" s="1689"/>
      <c r="AH38" s="1668"/>
      <c r="AJ38" s="3565"/>
    </row>
    <row r="39" spans="1:37" ht="16.5" customHeight="1">
      <c r="A39" s="218"/>
      <c r="B39" s="218"/>
      <c r="C39" s="230"/>
      <c r="D39" s="230"/>
      <c r="E39" s="239"/>
      <c r="F39" s="239"/>
      <c r="G39" s="239"/>
      <c r="H39" s="239"/>
      <c r="I39" s="239"/>
      <c r="J39" s="239"/>
      <c r="K39" s="239"/>
      <c r="L39" s="239"/>
      <c r="M39" s="239"/>
      <c r="N39" s="239"/>
      <c r="O39" s="239"/>
      <c r="P39" s="239"/>
      <c r="Q39" s="239"/>
      <c r="R39" s="239"/>
      <c r="S39" s="239"/>
      <c r="T39" s="239"/>
      <c r="U39" s="239"/>
      <c r="V39" s="239"/>
      <c r="W39" s="239"/>
      <c r="X39" s="239"/>
      <c r="Y39" s="239"/>
      <c r="Z39" s="230"/>
      <c r="AA39" s="231"/>
      <c r="AB39" s="1541"/>
      <c r="AC39" s="1541"/>
      <c r="AD39" s="1688"/>
      <c r="AE39" s="1541"/>
      <c r="AG39" s="1657"/>
      <c r="AH39" s="1668"/>
      <c r="AJ39" s="3566"/>
    </row>
    <row r="40" spans="1:37" s="1692" customFormat="1" ht="16.5" customHeight="1">
      <c r="A40" s="1685" t="s">
        <v>45</v>
      </c>
      <c r="B40" s="1686"/>
      <c r="C40" s="230"/>
      <c r="D40" s="230"/>
      <c r="E40" s="239"/>
      <c r="F40" s="239"/>
      <c r="G40" s="239"/>
      <c r="H40" s="239"/>
      <c r="I40" s="239"/>
      <c r="J40" s="1683"/>
      <c r="K40" s="1687"/>
      <c r="L40" s="1683"/>
      <c r="M40" s="1687"/>
      <c r="N40" s="1683"/>
      <c r="O40" s="1683"/>
      <c r="P40" s="1683"/>
      <c r="Q40" s="1683"/>
      <c r="R40" s="1683"/>
      <c r="S40" s="1683"/>
      <c r="T40" s="1683"/>
      <c r="U40" s="1683"/>
      <c r="V40" s="1683"/>
      <c r="W40" s="1683"/>
      <c r="X40" s="1683"/>
      <c r="Y40" s="1683"/>
      <c r="Z40" s="1541"/>
      <c r="AA40" s="1688"/>
      <c r="AB40" s="1541"/>
      <c r="AC40" s="1541"/>
      <c r="AD40" s="1688"/>
      <c r="AE40" s="1541"/>
      <c r="AF40" s="137"/>
      <c r="AG40" s="1689"/>
      <c r="AH40" s="1690"/>
      <c r="AI40" s="1691"/>
      <c r="AJ40" s="3567"/>
    </row>
    <row r="41" spans="1:37" s="1692" customFormat="1" ht="16.5" customHeight="1">
      <c r="A41" s="1686" t="s">
        <v>180</v>
      </c>
      <c r="B41" s="1686"/>
      <c r="C41" s="230">
        <v>3</v>
      </c>
      <c r="D41" s="1541"/>
      <c r="E41" s="230">
        <v>0</v>
      </c>
      <c r="F41" s="1683"/>
      <c r="G41" s="230">
        <v>0</v>
      </c>
      <c r="H41" s="3538"/>
      <c r="I41" s="230">
        <v>4</v>
      </c>
      <c r="J41" s="1683"/>
      <c r="K41" s="230">
        <v>0</v>
      </c>
      <c r="L41" s="1683"/>
      <c r="M41" s="230">
        <v>0</v>
      </c>
      <c r="N41" s="1683"/>
      <c r="O41" s="230">
        <v>0</v>
      </c>
      <c r="P41" s="1683"/>
      <c r="Q41" s="2089">
        <v>0</v>
      </c>
      <c r="R41" s="1683"/>
      <c r="S41" s="1682">
        <v>0</v>
      </c>
      <c r="T41" s="1683"/>
      <c r="U41" s="1682">
        <f>$AB41-$C41-$E41-$G41-$I41-$K41-$M41-$O41-S41-Q41</f>
        <v>0</v>
      </c>
      <c r="V41" s="1683"/>
      <c r="W41" s="2089"/>
      <c r="X41" s="1683"/>
      <c r="Y41" s="1682"/>
      <c r="Z41" s="1541"/>
      <c r="AA41" s="1688"/>
      <c r="AB41" s="2089">
        <v>7</v>
      </c>
      <c r="AC41" s="1541"/>
      <c r="AD41" s="1688"/>
      <c r="AE41" s="2089">
        <v>3</v>
      </c>
      <c r="AF41" s="137"/>
      <c r="AG41" s="1689"/>
      <c r="AH41" s="1668">
        <f>ROUND(SUM(AB41-AE41),1)</f>
        <v>4</v>
      </c>
      <c r="AI41" s="1641"/>
      <c r="AJ41" s="3610">
        <f>ROUND(IF(AE41=0,1,AH41/ABS(AE41)),3)</f>
        <v>1.333</v>
      </c>
    </row>
    <row r="42" spans="1:37" ht="16.5" customHeight="1">
      <c r="A42" s="218" t="s">
        <v>181</v>
      </c>
      <c r="B42" s="218"/>
      <c r="C42" s="230">
        <v>0</v>
      </c>
      <c r="D42" s="230"/>
      <c r="E42" s="230">
        <v>0</v>
      </c>
      <c r="F42" s="239"/>
      <c r="G42" s="230">
        <v>0</v>
      </c>
      <c r="H42" s="1824"/>
      <c r="I42" s="230">
        <v>0</v>
      </c>
      <c r="J42" s="239"/>
      <c r="K42" s="230">
        <v>0</v>
      </c>
      <c r="L42" s="239"/>
      <c r="M42" s="230">
        <v>0</v>
      </c>
      <c r="N42" s="239"/>
      <c r="O42" s="230">
        <v>0</v>
      </c>
      <c r="P42" s="239"/>
      <c r="Q42" s="2089">
        <v>0</v>
      </c>
      <c r="R42" s="239"/>
      <c r="S42" s="1682">
        <v>0</v>
      </c>
      <c r="T42" s="239"/>
      <c r="U42" s="1682">
        <f>$AB42-$C42-$E42-$G42-$I42-$K42-$M42-$O42-S42-Q42</f>
        <v>0</v>
      </c>
      <c r="V42" s="239"/>
      <c r="W42" s="1682"/>
      <c r="X42" s="239"/>
      <c r="Y42" s="1682"/>
      <c r="Z42" s="230"/>
      <c r="AA42" s="231"/>
      <c r="AB42" s="2089">
        <v>0</v>
      </c>
      <c r="AC42" s="1541"/>
      <c r="AD42" s="1688"/>
      <c r="AE42" s="2089">
        <v>0</v>
      </c>
      <c r="AF42" s="137"/>
      <c r="AG42" s="1689"/>
      <c r="AH42" s="3186">
        <f>-ROUND(SUM(AB42-AE42),1)</f>
        <v>0</v>
      </c>
      <c r="AJ42" s="3611">
        <f>ROUND(IF(AH42=0,0,AH42/ABS(AE42)),3)</f>
        <v>0</v>
      </c>
    </row>
    <row r="43" spans="1:37" ht="16.5" customHeight="1">
      <c r="A43" s="218"/>
      <c r="B43" s="218"/>
      <c r="C43" s="359"/>
      <c r="D43" s="230"/>
      <c r="E43" s="359"/>
      <c r="F43" s="239"/>
      <c r="G43" s="359"/>
      <c r="H43" s="239"/>
      <c r="I43" s="359"/>
      <c r="J43" s="239"/>
      <c r="K43" s="359"/>
      <c r="L43" s="239"/>
      <c r="M43" s="359"/>
      <c r="N43" s="239"/>
      <c r="O43" s="359"/>
      <c r="P43" s="239"/>
      <c r="Q43" s="359"/>
      <c r="R43" s="239"/>
      <c r="S43" s="359"/>
      <c r="T43" s="239"/>
      <c r="U43" s="360"/>
      <c r="V43" s="239"/>
      <c r="W43" s="360"/>
      <c r="X43" s="239"/>
      <c r="Y43" s="360"/>
      <c r="Z43" s="230"/>
      <c r="AA43" s="231"/>
      <c r="AB43" s="3159"/>
      <c r="AC43" s="1541"/>
      <c r="AD43" s="1688"/>
      <c r="AE43" s="3159"/>
      <c r="AF43" s="137"/>
      <c r="AG43" s="1689"/>
      <c r="AH43" s="3181"/>
      <c r="AJ43" s="3568"/>
    </row>
    <row r="44" spans="1:37" ht="16.5" customHeight="1">
      <c r="A44" s="227" t="s">
        <v>206</v>
      </c>
      <c r="B44" s="218"/>
      <c r="C44" s="362">
        <f>ROUND(SUM(C41:C43),1)</f>
        <v>3</v>
      </c>
      <c r="D44" s="232"/>
      <c r="E44" s="362">
        <f>ROUND(SUM(E41:E43),1)</f>
        <v>0</v>
      </c>
      <c r="F44" s="240"/>
      <c r="G44" s="362">
        <f>ROUND(SUM(G41:G43),1)</f>
        <v>0</v>
      </c>
      <c r="H44" s="240"/>
      <c r="I44" s="362">
        <f>ROUND(SUM(I41:I43),1)</f>
        <v>4</v>
      </c>
      <c r="J44" s="240"/>
      <c r="K44" s="362">
        <f>ROUND(SUM(K41:K43),1)</f>
        <v>0</v>
      </c>
      <c r="L44" s="240"/>
      <c r="M44" s="362">
        <f>ROUND(SUM(M41:M43),1)</f>
        <v>0</v>
      </c>
      <c r="N44" s="240"/>
      <c r="O44" s="362">
        <f>ROUND(SUM(O41:O43),1)</f>
        <v>0</v>
      </c>
      <c r="P44" s="240"/>
      <c r="Q44" s="362">
        <f>ROUND(SUM(Q41:Q43),1)</f>
        <v>0</v>
      </c>
      <c r="R44" s="240"/>
      <c r="S44" s="362">
        <f>ROUND(SUM(S41:S43),1)</f>
        <v>0</v>
      </c>
      <c r="T44" s="240"/>
      <c r="U44" s="362">
        <f>ROUND(SUM(U41:U43),1)</f>
        <v>0</v>
      </c>
      <c r="V44" s="240"/>
      <c r="W44" s="362">
        <f>ROUND(SUM(W41:W43),1)</f>
        <v>0</v>
      </c>
      <c r="X44" s="240"/>
      <c r="Y44" s="362">
        <f>ROUND(SUM(Y41:Y43),1)</f>
        <v>0</v>
      </c>
      <c r="Z44" s="232"/>
      <c r="AA44" s="233"/>
      <c r="AB44" s="3163">
        <f>ROUND(SUM(AB41+AB42),1)</f>
        <v>7</v>
      </c>
      <c r="AC44" s="3161"/>
      <c r="AD44" s="3184"/>
      <c r="AE44" s="3163">
        <f>ROUND(SUM(AE41+AE42),1)</f>
        <v>3</v>
      </c>
      <c r="AF44" s="104"/>
      <c r="AG44" s="1657"/>
      <c r="AH44" s="3185">
        <f>ROUND(SUM(AH41:AH42),1)</f>
        <v>4</v>
      </c>
      <c r="AI44" s="1139"/>
      <c r="AJ44" s="3612">
        <f>ROUND(IF(AE44=0,1,AH44/ABS(AE44)),3)</f>
        <v>1.333</v>
      </c>
    </row>
    <row r="45" spans="1:37" ht="16.5" customHeight="1">
      <c r="A45" s="218"/>
      <c r="B45" s="218"/>
      <c r="C45" s="359"/>
      <c r="D45" s="230"/>
      <c r="E45" s="360"/>
      <c r="F45" s="239"/>
      <c r="G45" s="360"/>
      <c r="H45" s="239"/>
      <c r="I45" s="360"/>
      <c r="J45" s="239"/>
      <c r="K45" s="360"/>
      <c r="L45" s="239"/>
      <c r="M45" s="360"/>
      <c r="N45" s="239"/>
      <c r="O45" s="360"/>
      <c r="P45" s="239"/>
      <c r="Q45" s="360"/>
      <c r="R45" s="239"/>
      <c r="S45" s="360"/>
      <c r="T45" s="239"/>
      <c r="U45" s="360"/>
      <c r="V45" s="239"/>
      <c r="W45" s="360"/>
      <c r="X45" s="239"/>
      <c r="Y45" s="360"/>
      <c r="Z45" s="230"/>
      <c r="AA45" s="231"/>
      <c r="AB45" s="3159"/>
      <c r="AC45" s="1541"/>
      <c r="AD45" s="1688"/>
      <c r="AE45" s="3159"/>
      <c r="AG45" s="1657"/>
      <c r="AH45" s="3181"/>
      <c r="AJ45" s="3569"/>
    </row>
    <row r="46" spans="1:37" ht="16.5" customHeight="1">
      <c r="A46" s="218"/>
      <c r="B46" s="218"/>
      <c r="C46" s="230"/>
      <c r="D46" s="230"/>
      <c r="E46" s="239"/>
      <c r="F46" s="239"/>
      <c r="G46" s="239"/>
      <c r="H46" s="239"/>
      <c r="I46" s="239"/>
      <c r="J46" s="239"/>
      <c r="K46" s="239"/>
      <c r="L46" s="239"/>
      <c r="M46" s="239"/>
      <c r="N46" s="239"/>
      <c r="O46" s="239"/>
      <c r="P46" s="239"/>
      <c r="Q46" s="239"/>
      <c r="R46" s="239"/>
      <c r="S46" s="239"/>
      <c r="T46" s="239"/>
      <c r="U46" s="239"/>
      <c r="V46" s="239"/>
      <c r="W46" s="239"/>
      <c r="X46" s="239"/>
      <c r="Y46" s="239"/>
      <c r="Z46" s="230"/>
      <c r="AA46" s="231"/>
      <c r="AB46" s="1541"/>
      <c r="AC46" s="1541"/>
      <c r="AD46" s="1688"/>
      <c r="AE46" s="1541"/>
      <c r="AG46" s="1657"/>
      <c r="AJ46" s="3569"/>
    </row>
    <row r="47" spans="1:37" ht="16.5" customHeight="1">
      <c r="A47" s="227" t="s">
        <v>164</v>
      </c>
      <c r="B47" s="218"/>
      <c r="C47" s="230"/>
      <c r="D47" s="230"/>
      <c r="E47" s="239"/>
      <c r="F47" s="239"/>
      <c r="G47" s="239"/>
      <c r="H47" s="239"/>
      <c r="I47" s="239"/>
      <c r="J47" s="239"/>
      <c r="K47" s="239"/>
      <c r="L47" s="239"/>
      <c r="M47" s="239"/>
      <c r="N47" s="239"/>
      <c r="O47" s="239"/>
      <c r="P47" s="239"/>
      <c r="Q47" s="239"/>
      <c r="R47" s="239"/>
      <c r="S47" s="239"/>
      <c r="T47" s="239"/>
      <c r="U47" s="239"/>
      <c r="V47" s="239"/>
      <c r="W47" s="239"/>
      <c r="X47" s="239"/>
      <c r="Y47" s="239"/>
      <c r="Z47" s="230"/>
      <c r="AA47" s="231"/>
      <c r="AB47" s="1541"/>
      <c r="AC47" s="1541"/>
      <c r="AD47" s="1688"/>
      <c r="AE47" s="1541"/>
      <c r="AG47" s="1657"/>
      <c r="AJ47" s="3569"/>
    </row>
    <row r="48" spans="1:37" ht="16.5" customHeight="1">
      <c r="A48" s="227" t="s">
        <v>225</v>
      </c>
      <c r="B48" s="218"/>
      <c r="C48" s="230"/>
      <c r="D48" s="230"/>
      <c r="E48" s="239"/>
      <c r="F48" s="239"/>
      <c r="G48" s="239"/>
      <c r="H48" s="239"/>
      <c r="I48" s="239"/>
      <c r="J48" s="239"/>
      <c r="K48" s="363"/>
      <c r="L48" s="239"/>
      <c r="M48" s="239"/>
      <c r="N48" s="239"/>
      <c r="O48" s="239"/>
      <c r="P48" s="239"/>
      <c r="Q48" s="239"/>
      <c r="R48" s="239"/>
      <c r="S48" s="239"/>
      <c r="T48" s="239"/>
      <c r="U48" s="239"/>
      <c r="V48" s="239"/>
      <c r="W48" s="239"/>
      <c r="X48" s="239"/>
      <c r="Y48" s="239"/>
      <c r="Z48" s="230"/>
      <c r="AA48" s="231"/>
      <c r="AB48" s="1541"/>
      <c r="AC48" s="1541"/>
      <c r="AD48" s="1688"/>
      <c r="AE48" s="1541"/>
      <c r="AG48" s="1657"/>
      <c r="AJ48" s="3569"/>
    </row>
    <row r="49" spans="1:39" ht="16.5" customHeight="1">
      <c r="A49" s="227" t="s">
        <v>166</v>
      </c>
      <c r="B49" s="218"/>
      <c r="C49" s="240">
        <f>ROUND(C37+C44,1)</f>
        <v>2.9</v>
      </c>
      <c r="D49" s="232"/>
      <c r="E49" s="240">
        <f>ROUND(E37+E44,1)</f>
        <v>-63.9</v>
      </c>
      <c r="F49" s="240"/>
      <c r="G49" s="240">
        <f>ROUND(G37+G44,1)</f>
        <v>16.600000000000001</v>
      </c>
      <c r="H49" s="240"/>
      <c r="I49" s="240">
        <f>ROUND(I37+I44,1)</f>
        <v>3.5</v>
      </c>
      <c r="J49" s="240"/>
      <c r="K49" s="887">
        <f>ROUND(K37+K44,1)</f>
        <v>-56.4</v>
      </c>
      <c r="L49" s="240"/>
      <c r="M49" s="240">
        <f>ROUND(M37+M44,1)</f>
        <v>38.4</v>
      </c>
      <c r="N49" s="240"/>
      <c r="O49" s="240">
        <f>ROUND(O37+O44,1)</f>
        <v>24.7</v>
      </c>
      <c r="P49" s="240"/>
      <c r="Q49" s="240">
        <f>ROUND(Q37+Q44,1)</f>
        <v>-28.7</v>
      </c>
      <c r="R49" s="240"/>
      <c r="S49" s="240">
        <f>ROUND(S37+S44,1)</f>
        <v>14.1</v>
      </c>
      <c r="T49" s="240"/>
      <c r="U49" s="240">
        <f>ROUND(U37+U44,1)</f>
        <v>37.4</v>
      </c>
      <c r="V49" s="240"/>
      <c r="W49" s="240">
        <f>ROUND(W37+W44,1)</f>
        <v>0</v>
      </c>
      <c r="X49" s="240"/>
      <c r="Y49" s="240">
        <f>ROUND(Y37+Y44,1)</f>
        <v>0</v>
      </c>
      <c r="Z49" s="232"/>
      <c r="AA49" s="233"/>
      <c r="AB49" s="3160">
        <f>ROUND(AB37+AB44,1)</f>
        <v>-11.4</v>
      </c>
      <c r="AC49" s="3161"/>
      <c r="AD49" s="3184"/>
      <c r="AE49" s="3160">
        <f>ROUND(AE37+AE44,1)</f>
        <v>13.3</v>
      </c>
      <c r="AG49" s="1657"/>
      <c r="AH49" s="3185">
        <f>ROUND(SUM(AH37+AH44),1)</f>
        <v>-24.7</v>
      </c>
      <c r="AI49" s="1112"/>
      <c r="AJ49" s="2098">
        <f>ROUND(IF(AE49=0,1,AH49/ABS(AE49)),3)</f>
        <v>-1.857</v>
      </c>
      <c r="AK49" s="357"/>
      <c r="AL49" s="357"/>
      <c r="AM49" s="357"/>
    </row>
    <row r="50" spans="1:39" ht="16.5" customHeight="1">
      <c r="A50" s="218"/>
      <c r="B50" s="218"/>
      <c r="C50" s="364"/>
      <c r="D50" s="227"/>
      <c r="E50" s="365"/>
      <c r="F50" s="366"/>
      <c r="G50" s="365"/>
      <c r="H50" s="366"/>
      <c r="I50" s="365"/>
      <c r="J50" s="366"/>
      <c r="K50" s="367"/>
      <c r="L50" s="366"/>
      <c r="M50" s="365"/>
      <c r="N50" s="366"/>
      <c r="O50" s="365"/>
      <c r="P50" s="366"/>
      <c r="Q50" s="365"/>
      <c r="R50" s="366"/>
      <c r="S50" s="365"/>
      <c r="T50" s="366"/>
      <c r="U50" s="365"/>
      <c r="V50" s="366"/>
      <c r="W50" s="365"/>
      <c r="X50" s="366"/>
      <c r="Y50" s="365"/>
      <c r="Z50" s="227"/>
      <c r="AA50" s="368"/>
      <c r="AB50" s="3164"/>
      <c r="AC50" s="1685"/>
      <c r="AD50" s="3187"/>
      <c r="AE50" s="3164"/>
      <c r="AG50" s="1657"/>
      <c r="AJ50" s="3565"/>
      <c r="AK50" s="357"/>
      <c r="AL50" s="357"/>
      <c r="AM50" s="357"/>
    </row>
    <row r="51" spans="1:39" ht="16.5" customHeight="1" thickBot="1">
      <c r="A51" s="227" t="s">
        <v>140</v>
      </c>
      <c r="B51" s="218"/>
      <c r="C51" s="225">
        <f>ROUND(C16+C49,1)</f>
        <v>330.9</v>
      </c>
      <c r="D51" s="225"/>
      <c r="E51" s="225">
        <f>ROUND(E16+E49,1)</f>
        <v>267</v>
      </c>
      <c r="F51" s="356"/>
      <c r="G51" s="225">
        <f>ROUND(G16+G49,1)</f>
        <v>283.60000000000002</v>
      </c>
      <c r="H51" s="356"/>
      <c r="I51" s="889">
        <f>ROUND(I16+I49,1)</f>
        <v>287.10000000000002</v>
      </c>
      <c r="J51" s="369"/>
      <c r="K51" s="225">
        <f>ROUND(K16+K49,1)</f>
        <v>230.7</v>
      </c>
      <c r="L51" s="369"/>
      <c r="M51" s="225">
        <f>ROUND(M16+M49,1)</f>
        <v>269.10000000000002</v>
      </c>
      <c r="N51" s="356"/>
      <c r="O51" s="225">
        <f>ROUND(O16+O49,1)</f>
        <v>293.8</v>
      </c>
      <c r="P51" s="356"/>
      <c r="Q51" s="225">
        <f>ROUND(Q16+Q49,1)</f>
        <v>265.10000000000002</v>
      </c>
      <c r="R51" s="356"/>
      <c r="S51" s="225">
        <f>ROUND(S16+S49,1)</f>
        <v>279.2</v>
      </c>
      <c r="T51" s="356"/>
      <c r="U51" s="225">
        <f>ROUND(U16+U49,1)</f>
        <v>316.60000000000002</v>
      </c>
      <c r="V51" s="356"/>
      <c r="W51" s="225">
        <f>ROUND(W16+W49,1)</f>
        <v>0</v>
      </c>
      <c r="X51" s="356"/>
      <c r="Y51" s="225">
        <f>ROUND(Y16+Y49,1)</f>
        <v>0</v>
      </c>
      <c r="Z51" s="225"/>
      <c r="AA51" s="226"/>
      <c r="AB51" s="3158">
        <f>ROUND(AB16+AB49,1)</f>
        <v>316.60000000000002</v>
      </c>
      <c r="AC51" s="3158"/>
      <c r="AD51" s="3179"/>
      <c r="AE51" s="3158">
        <f>ROUND(AE16+AE49,1)</f>
        <v>43</v>
      </c>
      <c r="AG51" s="1657"/>
      <c r="AH51" s="3188">
        <f>ROUND(SUM(AB51-AE51),1)</f>
        <v>273.60000000000002</v>
      </c>
      <c r="AI51" s="1138"/>
      <c r="AJ51" s="1140">
        <f>ROUND(IF(AH51=0,0,AH51/ABS(AE51)),3)</f>
        <v>6.3630000000000004</v>
      </c>
      <c r="AK51" s="357"/>
      <c r="AL51" s="357"/>
      <c r="AM51" s="357"/>
    </row>
    <row r="52" spans="1:39" ht="16.5" customHeight="1" thickTop="1">
      <c r="A52" s="220"/>
      <c r="B52" s="220"/>
      <c r="C52" s="370"/>
      <c r="D52" s="220"/>
      <c r="E52" s="370"/>
      <c r="F52" s="220"/>
      <c r="G52" s="370"/>
      <c r="H52" s="220"/>
      <c r="I52" s="236"/>
      <c r="J52" s="236"/>
      <c r="K52" s="370"/>
      <c r="L52" s="236"/>
      <c r="M52" s="370"/>
      <c r="N52" s="220"/>
      <c r="O52" s="370"/>
      <c r="P52" s="220"/>
      <c r="Q52" s="370"/>
      <c r="R52" s="220"/>
      <c r="S52" s="370"/>
      <c r="T52" s="220"/>
      <c r="U52" s="370"/>
      <c r="V52" s="220"/>
      <c r="W52" s="370"/>
      <c r="X52" s="220"/>
      <c r="Y52" s="370"/>
      <c r="Z52" s="220"/>
      <c r="AA52" s="220"/>
      <c r="AB52" s="3165"/>
      <c r="AC52" s="3166"/>
      <c r="AD52" s="3166"/>
      <c r="AE52" s="3165"/>
    </row>
    <row r="53" spans="1:39" ht="16.5" customHeight="1">
      <c r="A53" s="241"/>
    </row>
    <row r="54" spans="1:39" ht="16.5" customHeight="1">
      <c r="A54" s="241"/>
    </row>
    <row r="55" spans="1:39" ht="16.5" customHeight="1">
      <c r="A55" s="241"/>
    </row>
    <row r="56" spans="1:39" ht="16.5" customHeight="1">
      <c r="A56" s="241"/>
    </row>
    <row r="57" spans="1:39" ht="16.5" customHeight="1">
      <c r="A57" s="241"/>
    </row>
  </sheetData>
  <mergeCells count="1">
    <mergeCell ref="AB12:AJ12"/>
  </mergeCells>
  <pageMargins left="0.25" right="0.25" top="0.5" bottom="0.2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58" workbookViewId="0"/>
  </sheetViews>
  <sheetFormatPr defaultColWidth="8.81640625" defaultRowHeight="16.5" customHeight="1"/>
  <cols>
    <col min="1" max="1" width="48.453125" style="205" customWidth="1"/>
    <col min="2" max="2" width="11" style="205" customWidth="1"/>
    <col min="3" max="3" width="1.81640625" style="205" customWidth="1"/>
    <col min="4" max="4" width="11" style="205" customWidth="1"/>
    <col min="5" max="5" width="1.81640625" style="205" customWidth="1"/>
    <col min="6" max="6" width="11.08984375" style="205" customWidth="1"/>
    <col min="7" max="7" width="1.81640625" style="205" customWidth="1"/>
    <col min="8" max="8" width="11" style="205" customWidth="1"/>
    <col min="9" max="9" width="1.81640625" style="205" customWidth="1"/>
    <col min="10" max="10" width="10.453125" style="205" customWidth="1"/>
    <col min="11" max="11" width="1.81640625" style="205" customWidth="1"/>
    <col min="12" max="12" width="13.08984375" style="205" customWidth="1"/>
    <col min="13" max="13" width="1.81640625" style="205" customWidth="1"/>
    <col min="14" max="14" width="11.08984375" style="205" customWidth="1"/>
    <col min="15" max="15" width="1.81640625" style="205" customWidth="1"/>
    <col min="16" max="16" width="12.08984375" style="205" customWidth="1"/>
    <col min="17" max="17" width="1.81640625" style="205" customWidth="1"/>
    <col min="18" max="18" width="12" style="205" customWidth="1"/>
    <col min="19" max="19" width="1.81640625" style="205" customWidth="1"/>
    <col min="20" max="20" width="11.08984375" style="205" customWidth="1"/>
    <col min="21" max="21" width="1.81640625" style="205" customWidth="1"/>
    <col min="22" max="22" width="11.81640625" style="205" customWidth="1"/>
    <col min="23" max="23" width="1.81640625" style="205" customWidth="1"/>
    <col min="24" max="24" width="11.08984375" style="1076" customWidth="1"/>
    <col min="25" max="26" width="1.81640625" style="1076" customWidth="1"/>
    <col min="27" max="27" width="11.54296875" style="1076" customWidth="1"/>
    <col min="28" max="29" width="1.81640625" style="1076" customWidth="1"/>
    <col min="30" max="30" width="11.54296875" style="1076" customWidth="1"/>
    <col min="31" max="31" width="1.81640625" style="2188" customWidth="1"/>
    <col min="32" max="32" width="2.453125" style="3167" customWidth="1"/>
    <col min="33" max="33" width="10.08984375" style="1641" bestFit="1" customWidth="1"/>
    <col min="34" max="34" width="1.81640625" style="1121" customWidth="1"/>
    <col min="35" max="35" width="11.08984375" style="1120" customWidth="1"/>
    <col min="36" max="16384" width="8.81640625" style="205"/>
  </cols>
  <sheetData>
    <row r="1" spans="1:251" ht="16.5" customHeight="1">
      <c r="A1" s="635" t="s">
        <v>881</v>
      </c>
    </row>
    <row r="2" spans="1:251" ht="16.5" customHeight="1">
      <c r="A2" s="812"/>
    </row>
    <row r="3" spans="1:251" ht="20.25" customHeight="1">
      <c r="A3" s="3482" t="s">
        <v>0</v>
      </c>
      <c r="B3" s="316"/>
      <c r="C3" s="371"/>
      <c r="D3" s="371"/>
      <c r="E3" s="371"/>
      <c r="F3" s="371"/>
      <c r="G3" s="371"/>
      <c r="H3" s="371"/>
      <c r="I3" s="371"/>
      <c r="J3" s="371"/>
      <c r="K3" s="371"/>
      <c r="L3" s="371"/>
      <c r="M3" s="371"/>
      <c r="N3" s="371"/>
      <c r="O3" s="371"/>
      <c r="P3" s="371"/>
      <c r="Q3" s="371"/>
      <c r="R3" s="371"/>
      <c r="S3" s="371"/>
      <c r="T3" s="371"/>
      <c r="U3" s="371"/>
      <c r="V3" s="371"/>
      <c r="W3" s="371"/>
      <c r="X3" s="3189"/>
      <c r="Y3" s="3189"/>
      <c r="Z3" s="3189"/>
      <c r="AA3" s="3189"/>
      <c r="AB3" s="3189"/>
      <c r="AC3" s="3189"/>
      <c r="AD3" s="3189"/>
      <c r="AE3" s="104"/>
      <c r="AI3" s="266" t="s">
        <v>221</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c r="EF3" s="371"/>
      <c r="EG3" s="371"/>
      <c r="EH3" s="371"/>
      <c r="EI3" s="371"/>
      <c r="EJ3" s="371"/>
      <c r="EK3" s="371"/>
      <c r="EL3" s="371"/>
      <c r="EM3" s="371"/>
      <c r="EN3" s="371"/>
      <c r="EO3" s="371"/>
      <c r="EP3" s="371"/>
      <c r="EQ3" s="371"/>
      <c r="ER3" s="371"/>
      <c r="ES3" s="371"/>
      <c r="ET3" s="371"/>
      <c r="EU3" s="371"/>
      <c r="EV3" s="371"/>
      <c r="EW3" s="371"/>
      <c r="EX3" s="371"/>
      <c r="EY3" s="371"/>
      <c r="EZ3" s="371"/>
      <c r="FA3" s="371"/>
      <c r="FB3" s="371"/>
      <c r="FC3" s="371"/>
      <c r="FD3" s="371"/>
      <c r="FE3" s="371"/>
      <c r="FF3" s="371"/>
      <c r="FG3" s="371"/>
      <c r="FH3" s="371"/>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371"/>
      <c r="GH3" s="371"/>
      <c r="GI3" s="371"/>
      <c r="GJ3" s="371"/>
      <c r="GK3" s="371"/>
      <c r="GL3" s="371"/>
      <c r="GM3" s="371"/>
      <c r="GN3" s="371"/>
      <c r="GO3" s="371"/>
      <c r="GP3" s="371"/>
      <c r="GQ3" s="371"/>
      <c r="GR3" s="371"/>
      <c r="GS3" s="371"/>
      <c r="GT3" s="371"/>
      <c r="GU3" s="371"/>
      <c r="GV3" s="371"/>
      <c r="GW3" s="371"/>
      <c r="GX3" s="371"/>
      <c r="GY3" s="371"/>
      <c r="GZ3" s="371"/>
      <c r="HA3" s="371"/>
      <c r="HB3" s="371"/>
      <c r="HC3" s="371"/>
      <c r="HD3" s="371"/>
      <c r="HE3" s="371"/>
      <c r="HF3" s="371"/>
      <c r="HG3" s="371"/>
      <c r="HH3" s="371"/>
      <c r="HI3" s="371"/>
      <c r="HJ3" s="371"/>
      <c r="HK3" s="371"/>
      <c r="HL3" s="371"/>
      <c r="HM3" s="371"/>
      <c r="HN3" s="371"/>
      <c r="HO3" s="371"/>
      <c r="HP3" s="371"/>
      <c r="HQ3" s="371"/>
      <c r="HR3" s="371"/>
      <c r="HS3" s="371"/>
      <c r="HT3" s="371"/>
      <c r="HU3" s="371"/>
      <c r="HV3" s="371"/>
      <c r="HW3" s="371"/>
      <c r="HX3" s="371"/>
      <c r="HY3" s="371"/>
      <c r="HZ3" s="371"/>
      <c r="IA3" s="371"/>
      <c r="IB3" s="371"/>
      <c r="IC3" s="371"/>
      <c r="ID3" s="371"/>
      <c r="IE3" s="371"/>
      <c r="IF3" s="371"/>
      <c r="IG3" s="371"/>
      <c r="IH3" s="371"/>
      <c r="II3" s="371"/>
      <c r="IJ3" s="371"/>
      <c r="IK3" s="371"/>
      <c r="IL3" s="371"/>
      <c r="IM3" s="371"/>
      <c r="IN3" s="371"/>
      <c r="IO3" s="371"/>
      <c r="IP3" s="371"/>
      <c r="IQ3" s="371"/>
    </row>
    <row r="4" spans="1:251" ht="22.5" customHeight="1">
      <c r="A4" s="3482" t="s">
        <v>219</v>
      </c>
      <c r="B4" s="316"/>
      <c r="C4" s="371"/>
      <c r="D4" s="371"/>
      <c r="E4" s="371"/>
      <c r="F4" s="371"/>
      <c r="G4" s="371"/>
      <c r="H4" s="316" t="s">
        <v>14</v>
      </c>
      <c r="I4" s="371"/>
      <c r="J4" s="371"/>
      <c r="K4" s="371"/>
      <c r="L4" s="371"/>
      <c r="M4" s="371"/>
      <c r="N4" s="371"/>
      <c r="O4" s="371"/>
      <c r="P4" s="371"/>
      <c r="Q4" s="371"/>
      <c r="R4" s="371"/>
      <c r="S4" s="371"/>
      <c r="T4" s="371"/>
      <c r="U4" s="371"/>
      <c r="V4" s="371"/>
      <c r="W4" s="371"/>
      <c r="X4" s="3189" t="s">
        <v>14</v>
      </c>
      <c r="Y4" s="3189"/>
      <c r="Z4" s="3189"/>
      <c r="AA4" s="3189"/>
      <c r="AB4" s="3189"/>
      <c r="AC4" s="3189"/>
      <c r="AD4" s="3189"/>
      <c r="AE4" s="104"/>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c r="EF4" s="371"/>
      <c r="EG4" s="371"/>
      <c r="EH4" s="371"/>
      <c r="EI4" s="371"/>
      <c r="EJ4" s="371"/>
      <c r="EK4" s="371"/>
      <c r="EL4" s="371"/>
      <c r="EM4" s="371"/>
      <c r="EN4" s="371"/>
      <c r="EO4" s="371"/>
      <c r="EP4" s="371"/>
      <c r="EQ4" s="371"/>
      <c r="ER4" s="371"/>
      <c r="ES4" s="371"/>
      <c r="ET4" s="371"/>
      <c r="EU4" s="371"/>
      <c r="EV4" s="371"/>
      <c r="EW4" s="371"/>
      <c r="EX4" s="371"/>
      <c r="EY4" s="371"/>
      <c r="EZ4" s="371"/>
      <c r="FA4" s="371"/>
      <c r="FB4" s="371"/>
      <c r="FC4" s="371"/>
      <c r="FD4" s="371"/>
      <c r="FE4" s="371"/>
      <c r="FF4" s="371"/>
      <c r="FG4" s="371"/>
      <c r="FH4" s="371"/>
      <c r="FI4" s="371"/>
      <c r="FJ4" s="371"/>
      <c r="FK4" s="371"/>
      <c r="FL4" s="371"/>
      <c r="FM4" s="371"/>
      <c r="FN4" s="371"/>
      <c r="FO4" s="371"/>
      <c r="FP4" s="371"/>
      <c r="FQ4" s="371"/>
      <c r="FR4" s="371"/>
      <c r="FS4" s="371"/>
      <c r="FT4" s="371"/>
      <c r="FU4" s="371"/>
      <c r="FV4" s="371"/>
      <c r="FW4" s="371"/>
      <c r="FX4" s="371"/>
      <c r="FY4" s="371"/>
      <c r="FZ4" s="371"/>
      <c r="GA4" s="371"/>
      <c r="GB4" s="371"/>
      <c r="GC4" s="371"/>
      <c r="GD4" s="371"/>
      <c r="GE4" s="371"/>
      <c r="GF4" s="371"/>
      <c r="GG4" s="371"/>
      <c r="GH4" s="371"/>
      <c r="GI4" s="371"/>
      <c r="GJ4" s="371"/>
      <c r="GK4" s="371"/>
      <c r="GL4" s="371"/>
      <c r="GM4" s="371"/>
      <c r="GN4" s="371"/>
      <c r="GO4" s="371"/>
      <c r="GP4" s="371"/>
      <c r="GQ4" s="371"/>
      <c r="GR4" s="371"/>
      <c r="GS4" s="371"/>
      <c r="GT4" s="371"/>
      <c r="GU4" s="371"/>
      <c r="GV4" s="371"/>
      <c r="GW4" s="371"/>
      <c r="GX4" s="371"/>
      <c r="GY4" s="371"/>
      <c r="GZ4" s="371"/>
      <c r="HA4" s="371"/>
      <c r="HB4" s="371"/>
      <c r="HC4" s="371"/>
      <c r="HD4" s="371"/>
      <c r="HE4" s="371"/>
      <c r="HF4" s="371"/>
      <c r="HG4" s="371"/>
      <c r="HH4" s="371"/>
      <c r="HI4" s="371"/>
      <c r="HJ4" s="371"/>
      <c r="HK4" s="371"/>
      <c r="HL4" s="371"/>
      <c r="HM4" s="371"/>
      <c r="HN4" s="371"/>
      <c r="HO4" s="371"/>
      <c r="HP4" s="371"/>
      <c r="HQ4" s="371"/>
      <c r="HR4" s="371"/>
      <c r="HS4" s="371"/>
      <c r="HT4" s="371"/>
      <c r="HU4" s="371"/>
      <c r="HV4" s="371"/>
      <c r="HW4" s="371"/>
      <c r="HX4" s="371"/>
      <c r="HY4" s="371"/>
      <c r="HZ4" s="371"/>
      <c r="IA4" s="371"/>
      <c r="IB4" s="371"/>
      <c r="IC4" s="371"/>
      <c r="ID4" s="371"/>
      <c r="IE4" s="371"/>
      <c r="IF4" s="371"/>
      <c r="IG4" s="371"/>
      <c r="IH4" s="371"/>
      <c r="II4" s="371"/>
      <c r="IJ4" s="371"/>
      <c r="IK4" s="371"/>
      <c r="IL4" s="371"/>
      <c r="IM4" s="371"/>
      <c r="IN4" s="371"/>
      <c r="IO4" s="371"/>
      <c r="IP4" s="371"/>
      <c r="IQ4" s="371"/>
    </row>
    <row r="5" spans="1:251" ht="20.25" customHeight="1">
      <c r="A5" s="3482" t="s">
        <v>220</v>
      </c>
      <c r="B5" s="316"/>
      <c r="C5" s="371"/>
      <c r="D5" s="371"/>
      <c r="E5" s="371"/>
      <c r="F5" s="371"/>
      <c r="G5" s="371"/>
      <c r="H5" s="371"/>
      <c r="I5" s="371"/>
      <c r="J5" s="371"/>
      <c r="K5" s="371"/>
      <c r="L5" s="371"/>
      <c r="M5" s="371"/>
      <c r="N5" s="371"/>
      <c r="O5" s="371"/>
      <c r="P5" s="371"/>
      <c r="Q5" s="371"/>
      <c r="R5" s="371"/>
      <c r="S5" s="371"/>
      <c r="T5" s="371"/>
      <c r="U5" s="371"/>
      <c r="V5" s="371"/>
      <c r="W5" s="371"/>
      <c r="X5" s="3189"/>
      <c r="Y5" s="3189"/>
      <c r="Z5" s="3189"/>
      <c r="AB5" s="3190"/>
      <c r="AC5" s="3190"/>
      <c r="AD5" s="3190"/>
      <c r="AE5" s="3168"/>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1"/>
      <c r="FM5" s="371"/>
      <c r="FN5" s="371"/>
      <c r="FO5" s="371"/>
      <c r="FP5" s="371"/>
      <c r="FQ5" s="371"/>
      <c r="FR5" s="371"/>
      <c r="FS5" s="371"/>
      <c r="FT5" s="371"/>
      <c r="FU5" s="371"/>
      <c r="FV5" s="371"/>
      <c r="FW5" s="371"/>
      <c r="FX5" s="371"/>
      <c r="FY5" s="371"/>
      <c r="FZ5" s="371"/>
      <c r="GA5" s="371"/>
      <c r="GB5" s="371"/>
      <c r="GC5" s="371"/>
      <c r="GD5" s="371"/>
      <c r="GE5" s="371"/>
      <c r="GF5" s="371"/>
      <c r="GG5" s="371"/>
      <c r="GH5" s="371"/>
      <c r="GI5" s="371"/>
      <c r="GJ5" s="371"/>
      <c r="GK5" s="371"/>
      <c r="GL5" s="371"/>
      <c r="GM5" s="371"/>
      <c r="GN5" s="371"/>
      <c r="GO5" s="371"/>
      <c r="GP5" s="371"/>
      <c r="GQ5" s="371"/>
      <c r="GR5" s="371"/>
      <c r="GS5" s="371"/>
      <c r="GT5" s="371"/>
      <c r="GU5" s="371"/>
      <c r="GV5" s="371"/>
      <c r="GW5" s="371"/>
      <c r="GX5" s="371"/>
      <c r="GY5" s="371"/>
      <c r="GZ5" s="371"/>
      <c r="HA5" s="371"/>
      <c r="HB5" s="371"/>
      <c r="HC5" s="371"/>
      <c r="HD5" s="371"/>
      <c r="HE5" s="371"/>
      <c r="HF5" s="371"/>
      <c r="HG5" s="371"/>
      <c r="HH5" s="371"/>
      <c r="HI5" s="371"/>
      <c r="HJ5" s="371"/>
      <c r="HK5" s="371"/>
      <c r="HL5" s="371"/>
      <c r="HM5" s="371"/>
      <c r="HN5" s="371"/>
      <c r="HO5" s="371"/>
      <c r="HP5" s="371"/>
      <c r="HQ5" s="371"/>
      <c r="HR5" s="371"/>
      <c r="HS5" s="371"/>
      <c r="HT5" s="371"/>
      <c r="HU5" s="371"/>
      <c r="HV5" s="371"/>
      <c r="HW5" s="371"/>
      <c r="HX5" s="371"/>
      <c r="HY5" s="371"/>
      <c r="HZ5" s="371"/>
      <c r="IA5" s="371"/>
      <c r="IB5" s="371"/>
      <c r="IC5" s="371"/>
      <c r="ID5" s="371"/>
      <c r="IE5" s="371"/>
      <c r="IF5" s="371"/>
      <c r="IG5" s="371"/>
      <c r="IH5" s="371"/>
      <c r="II5" s="371"/>
      <c r="IJ5" s="371"/>
      <c r="IK5" s="371"/>
      <c r="IL5" s="371"/>
      <c r="IM5" s="371"/>
      <c r="IN5" s="371"/>
      <c r="IO5" s="371"/>
      <c r="IP5" s="371"/>
      <c r="IQ5" s="371"/>
    </row>
    <row r="6" spans="1:251" ht="20.25" customHeight="1">
      <c r="A6" s="3483" t="str">
        <f>'Cashflow Governmental'!A6</f>
        <v xml:space="preserve">FISCAL YEAR 2021-2022   </v>
      </c>
      <c r="B6" s="316"/>
      <c r="C6" s="371"/>
      <c r="D6" s="371"/>
      <c r="E6" s="371"/>
      <c r="F6" s="371"/>
      <c r="G6" s="371"/>
      <c r="H6" s="371"/>
      <c r="I6" s="371"/>
      <c r="J6" s="371"/>
      <c r="K6" s="371"/>
      <c r="L6" s="371"/>
      <c r="M6" s="371"/>
      <c r="N6" s="371"/>
      <c r="O6" s="371"/>
      <c r="P6" s="371"/>
      <c r="Q6" s="371"/>
      <c r="R6" s="371"/>
      <c r="S6" s="371"/>
      <c r="T6" s="371"/>
      <c r="U6" s="371"/>
      <c r="V6" s="371"/>
      <c r="W6" s="371"/>
      <c r="X6" s="3189"/>
      <c r="Y6" s="3189"/>
      <c r="Z6" s="3189"/>
      <c r="AA6" s="3189"/>
      <c r="AB6" s="3189"/>
      <c r="AC6" s="3189"/>
      <c r="AD6" s="3189"/>
      <c r="AE6" s="104"/>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1"/>
      <c r="EQ6" s="371"/>
      <c r="ER6" s="371"/>
      <c r="ES6" s="371"/>
      <c r="ET6" s="371"/>
      <c r="EU6" s="371"/>
      <c r="EV6" s="371"/>
      <c r="EW6" s="371"/>
      <c r="EX6" s="371"/>
      <c r="EY6" s="371"/>
      <c r="EZ6" s="371"/>
      <c r="FA6" s="371"/>
      <c r="FB6" s="371"/>
      <c r="FC6" s="371"/>
      <c r="FD6" s="371"/>
      <c r="FE6" s="371"/>
      <c r="FF6" s="371"/>
      <c r="FG6" s="371"/>
      <c r="FH6" s="371"/>
      <c r="FI6" s="371"/>
      <c r="FJ6" s="371"/>
      <c r="FK6" s="371"/>
      <c r="FL6" s="371"/>
      <c r="FM6" s="371"/>
      <c r="FN6" s="371"/>
      <c r="FO6" s="371"/>
      <c r="FP6" s="371"/>
      <c r="FQ6" s="371"/>
      <c r="FR6" s="371"/>
      <c r="FS6" s="371"/>
      <c r="FT6" s="371"/>
      <c r="FU6" s="371"/>
      <c r="FV6" s="371"/>
      <c r="FW6" s="371"/>
      <c r="FX6" s="371"/>
      <c r="FY6" s="371"/>
      <c r="FZ6" s="371"/>
      <c r="GA6" s="371"/>
      <c r="GB6" s="371"/>
      <c r="GC6" s="371"/>
      <c r="GD6" s="371"/>
      <c r="GE6" s="371"/>
      <c r="GF6" s="371"/>
      <c r="GG6" s="371"/>
      <c r="GH6" s="371"/>
      <c r="GI6" s="371"/>
      <c r="GJ6" s="371"/>
      <c r="GK6" s="371"/>
      <c r="GL6" s="371"/>
      <c r="GM6" s="371"/>
      <c r="GN6" s="371"/>
      <c r="GO6" s="371"/>
      <c r="GP6" s="371"/>
      <c r="GQ6" s="371"/>
      <c r="GR6" s="371"/>
      <c r="GS6" s="371"/>
      <c r="GT6" s="371"/>
      <c r="GU6" s="371"/>
      <c r="GV6" s="371"/>
      <c r="GW6" s="371"/>
      <c r="GX6" s="371"/>
      <c r="GY6" s="371"/>
      <c r="GZ6" s="371"/>
      <c r="HA6" s="371"/>
      <c r="HB6" s="371"/>
      <c r="HC6" s="371"/>
      <c r="HD6" s="371"/>
      <c r="HE6" s="371"/>
      <c r="HF6" s="371"/>
      <c r="HG6" s="371"/>
      <c r="HH6" s="371"/>
      <c r="HI6" s="371"/>
      <c r="HJ6" s="371"/>
      <c r="HK6" s="371"/>
      <c r="HL6" s="371"/>
      <c r="HM6" s="371"/>
      <c r="HN6" s="371"/>
      <c r="HO6" s="371"/>
      <c r="HP6" s="371"/>
      <c r="HQ6" s="371"/>
      <c r="HR6" s="371"/>
      <c r="HS6" s="371"/>
      <c r="HT6" s="371"/>
      <c r="HU6" s="371"/>
      <c r="HV6" s="371"/>
      <c r="HW6" s="371"/>
      <c r="HX6" s="371"/>
      <c r="HY6" s="371"/>
      <c r="HZ6" s="371"/>
      <c r="IA6" s="371"/>
      <c r="IB6" s="371"/>
      <c r="IC6" s="371"/>
      <c r="ID6" s="371"/>
      <c r="IE6" s="371"/>
      <c r="IF6" s="371"/>
      <c r="IG6" s="371"/>
      <c r="IH6" s="371"/>
      <c r="II6" s="371"/>
      <c r="IJ6" s="371"/>
      <c r="IK6" s="371"/>
      <c r="IL6" s="371"/>
      <c r="IM6" s="371"/>
      <c r="IN6" s="371"/>
      <c r="IO6" s="371"/>
      <c r="IP6" s="371"/>
      <c r="IQ6" s="371"/>
    </row>
    <row r="7" spans="1:251" ht="20.25" customHeight="1">
      <c r="A7" s="3482" t="s">
        <v>1263</v>
      </c>
      <c r="B7" s="316"/>
      <c r="C7" s="371"/>
      <c r="D7" s="371"/>
      <c r="E7" s="371"/>
      <c r="F7" s="371"/>
      <c r="G7" s="371"/>
      <c r="H7" s="371"/>
      <c r="I7" s="371"/>
      <c r="J7" s="371"/>
      <c r="K7" s="371"/>
      <c r="L7" s="371"/>
      <c r="M7" s="371"/>
      <c r="N7" s="371"/>
      <c r="O7" s="371"/>
      <c r="P7" s="371"/>
      <c r="Q7" s="371"/>
      <c r="R7" s="371"/>
      <c r="S7" s="371"/>
      <c r="T7" s="371"/>
      <c r="U7" s="371"/>
      <c r="V7" s="371"/>
      <c r="W7" s="371"/>
      <c r="X7" s="3189"/>
      <c r="Y7" s="3189"/>
      <c r="Z7" s="3189"/>
      <c r="AA7" s="3189"/>
      <c r="AB7" s="3189"/>
      <c r="AC7" s="3189"/>
      <c r="AD7" s="3189"/>
      <c r="AE7" s="104"/>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row>
    <row r="8" spans="1:251" ht="16.5" customHeight="1">
      <c r="L8" s="2095"/>
      <c r="AE8" s="104"/>
    </row>
    <row r="9" spans="1:251" ht="16.5" customHeight="1">
      <c r="A9" s="372"/>
      <c r="B9" s="214"/>
      <c r="C9" s="214"/>
      <c r="D9" s="214"/>
      <c r="E9" s="214"/>
      <c r="F9" s="214"/>
      <c r="G9" s="214"/>
      <c r="H9" s="263"/>
      <c r="I9" s="263"/>
      <c r="J9" s="263"/>
      <c r="K9" s="214"/>
      <c r="L9" s="214"/>
      <c r="M9" s="214"/>
      <c r="N9" s="214"/>
      <c r="O9" s="214"/>
      <c r="P9" s="214"/>
      <c r="Q9" s="214"/>
      <c r="R9" s="214"/>
      <c r="S9" s="214"/>
      <c r="T9" s="214"/>
      <c r="U9" s="214"/>
      <c r="V9" s="214"/>
      <c r="W9" s="214"/>
      <c r="X9" s="3191"/>
      <c r="Y9" s="3191"/>
      <c r="Z9" s="3191"/>
      <c r="AA9" s="3191"/>
      <c r="AB9" s="3191"/>
      <c r="AC9" s="3191"/>
      <c r="AD9" s="3191"/>
      <c r="AE9" s="1076"/>
      <c r="AF9" s="3169"/>
      <c r="AG9" s="3169"/>
      <c r="AH9" s="1122"/>
      <c r="AI9" s="1122"/>
    </row>
    <row r="10" spans="1:251" ht="16.5" customHeight="1">
      <c r="A10" s="242"/>
      <c r="B10" s="245"/>
      <c r="C10" s="245"/>
      <c r="D10" s="245"/>
      <c r="E10" s="245"/>
      <c r="F10" s="245"/>
      <c r="G10" s="245"/>
      <c r="H10" s="245"/>
      <c r="I10" s="245"/>
      <c r="J10" s="245"/>
      <c r="K10" s="245"/>
      <c r="L10" s="245"/>
      <c r="M10" s="245"/>
      <c r="N10" s="245"/>
      <c r="O10" s="245"/>
      <c r="P10" s="245"/>
      <c r="Q10" s="245"/>
      <c r="R10" s="245"/>
      <c r="S10" s="245"/>
      <c r="T10" s="245"/>
      <c r="U10" s="245"/>
      <c r="V10" s="245"/>
      <c r="W10" s="245"/>
      <c r="X10" s="3192"/>
      <c r="Y10" s="3192"/>
      <c r="Z10" s="3193"/>
      <c r="AA10" s="3987" t="s">
        <v>1572</v>
      </c>
      <c r="AB10" s="3988"/>
      <c r="AC10" s="3988"/>
      <c r="AD10" s="3988"/>
      <c r="AE10" s="3988"/>
      <c r="AF10" s="3988"/>
      <c r="AG10" s="3988"/>
      <c r="AH10" s="3988"/>
      <c r="AI10" s="3988"/>
    </row>
    <row r="11" spans="1:251" ht="16.5" customHeight="1">
      <c r="A11" s="242"/>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246"/>
      <c r="W11" s="246"/>
      <c r="X11" s="1632"/>
      <c r="Y11" s="1632"/>
      <c r="Z11" s="3193"/>
      <c r="AA11" s="3193"/>
      <c r="AB11" s="3193"/>
      <c r="AC11" s="3193"/>
      <c r="AD11" s="3193"/>
      <c r="AE11" s="3171"/>
      <c r="AF11" s="3172"/>
      <c r="AG11" s="3175" t="s">
        <v>7</v>
      </c>
      <c r="AH11" s="1124"/>
      <c r="AI11" s="1125" t="s">
        <v>8</v>
      </c>
    </row>
    <row r="12" spans="1:251" ht="16.5" customHeight="1">
      <c r="A12" s="242"/>
      <c r="B12" s="760" t="s">
        <v>123</v>
      </c>
      <c r="C12" s="246"/>
      <c r="D12" s="760" t="s">
        <v>124</v>
      </c>
      <c r="E12" s="246"/>
      <c r="F12" s="760" t="s">
        <v>125</v>
      </c>
      <c r="G12" s="246"/>
      <c r="H12" s="760" t="s">
        <v>126</v>
      </c>
      <c r="I12" s="246"/>
      <c r="J12" s="760" t="s">
        <v>127</v>
      </c>
      <c r="K12" s="246"/>
      <c r="L12" s="758" t="s">
        <v>142</v>
      </c>
      <c r="M12" s="246"/>
      <c r="N12" s="758" t="s">
        <v>143</v>
      </c>
      <c r="O12" s="246"/>
      <c r="P12" s="760" t="s">
        <v>130</v>
      </c>
      <c r="Q12" s="246"/>
      <c r="R12" s="760" t="s">
        <v>131</v>
      </c>
      <c r="S12" s="246"/>
      <c r="T12" s="760" t="s">
        <v>132</v>
      </c>
      <c r="U12" s="246"/>
      <c r="V12" s="760" t="s">
        <v>133</v>
      </c>
      <c r="W12" s="246"/>
      <c r="X12" s="3194" t="s">
        <v>184</v>
      </c>
      <c r="Y12" s="1632"/>
      <c r="Z12" s="1632"/>
      <c r="AA12" s="3195">
        <f>'Cashflow Governmental'!AB14</f>
        <v>2022</v>
      </c>
      <c r="AB12" s="1632" t="s">
        <v>14</v>
      </c>
      <c r="AC12" s="1632"/>
      <c r="AD12" s="3195">
        <f>'Cashflow Governmental'!AE14</f>
        <v>2021</v>
      </c>
      <c r="AE12" s="3210"/>
      <c r="AF12" s="3211"/>
      <c r="AG12" s="3178" t="s">
        <v>11</v>
      </c>
      <c r="AH12" s="1127"/>
      <c r="AI12" s="1126" t="s">
        <v>12</v>
      </c>
    </row>
    <row r="13" spans="1:251" ht="4.5" customHeight="1">
      <c r="A13" s="242"/>
      <c r="B13" s="373"/>
      <c r="C13" s="242"/>
      <c r="D13" s="373"/>
      <c r="E13" s="242"/>
      <c r="F13" s="373"/>
      <c r="G13" s="242"/>
      <c r="H13" s="373"/>
      <c r="I13" s="242"/>
      <c r="J13" s="373"/>
      <c r="K13" s="242"/>
      <c r="L13" s="373"/>
      <c r="M13" s="242"/>
      <c r="N13" s="373"/>
      <c r="O13" s="242"/>
      <c r="P13" s="373"/>
      <c r="Q13" s="242"/>
      <c r="R13" s="373"/>
      <c r="S13" s="242"/>
      <c r="T13" s="373"/>
      <c r="U13" s="242"/>
      <c r="V13" s="373"/>
      <c r="W13" s="242"/>
      <c r="X13" s="3196"/>
      <c r="Y13" s="3197"/>
      <c r="Z13" s="3197"/>
      <c r="AA13" s="3196"/>
      <c r="AB13" s="3197"/>
      <c r="AC13" s="3197"/>
      <c r="AD13" s="3196"/>
      <c r="AE13" s="3173"/>
      <c r="AF13" s="1639"/>
    </row>
    <row r="14" spans="1:251" ht="16.5" customHeight="1">
      <c r="A14" s="317" t="s">
        <v>135</v>
      </c>
      <c r="B14" s="2120">
        <v>-363.5</v>
      </c>
      <c r="C14" s="374"/>
      <c r="D14" s="374">
        <f>B46</f>
        <v>-349.4</v>
      </c>
      <c r="E14" s="374"/>
      <c r="F14" s="374">
        <f>D46</f>
        <v>-398.2</v>
      </c>
      <c r="G14" s="374"/>
      <c r="H14" s="374">
        <f>F46</f>
        <v>-339</v>
      </c>
      <c r="I14" s="374"/>
      <c r="J14" s="374">
        <f>H46</f>
        <v>-344.8</v>
      </c>
      <c r="K14" s="374"/>
      <c r="L14" s="374">
        <f>J46</f>
        <v>-336.3</v>
      </c>
      <c r="M14" s="374"/>
      <c r="N14" s="374">
        <f>L46</f>
        <v>-347.5</v>
      </c>
      <c r="O14" s="374"/>
      <c r="P14" s="374">
        <f>N46</f>
        <v>-362.1</v>
      </c>
      <c r="Q14" s="374"/>
      <c r="R14" s="374">
        <f>P46</f>
        <v>-369</v>
      </c>
      <c r="S14" s="374"/>
      <c r="T14" s="374">
        <f>R46</f>
        <v>-378.7</v>
      </c>
      <c r="U14" s="374"/>
      <c r="V14" s="374" t="s">
        <v>14</v>
      </c>
      <c r="W14" s="374"/>
      <c r="X14" s="1634" t="s">
        <v>14</v>
      </c>
      <c r="Y14" s="1634"/>
      <c r="Z14" s="3198"/>
      <c r="AA14" s="1634">
        <f>B14</f>
        <v>-363.5</v>
      </c>
      <c r="AB14" s="3199"/>
      <c r="AC14" s="2185"/>
      <c r="AD14" s="2120">
        <v>-297.5</v>
      </c>
      <c r="AE14" s="3176"/>
      <c r="AF14" s="3212"/>
      <c r="AG14" s="1640">
        <f>ROUND(SUM(AA14-AD14),1)</f>
        <v>-66</v>
      </c>
      <c r="AI14" s="1356">
        <f>-ROUND(IF(AG14=0,0,AG14/(AD14)),3)</f>
        <v>-0.222</v>
      </c>
    </row>
    <row r="15" spans="1:251" ht="16.5" customHeight="1">
      <c r="A15" s="146"/>
      <c r="B15" s="376"/>
      <c r="C15" s="376"/>
      <c r="D15" s="376"/>
      <c r="E15" s="376"/>
      <c r="F15" s="376"/>
      <c r="G15" s="376"/>
      <c r="H15" s="376"/>
      <c r="I15" s="376"/>
      <c r="J15" s="376"/>
      <c r="K15" s="376"/>
      <c r="L15" s="376"/>
      <c r="M15" s="376"/>
      <c r="N15" s="376"/>
      <c r="O15" s="376"/>
      <c r="P15" s="376"/>
      <c r="Q15" s="376"/>
      <c r="R15" s="376"/>
      <c r="S15" s="376"/>
      <c r="T15" s="376"/>
      <c r="U15" s="376"/>
      <c r="V15" s="376"/>
      <c r="W15" s="376"/>
      <c r="X15" s="3176"/>
      <c r="Y15" s="3176"/>
      <c r="Z15" s="3200"/>
      <c r="AA15" s="3176"/>
      <c r="AB15" s="3201"/>
      <c r="AC15" s="3202"/>
      <c r="AD15" s="3176"/>
      <c r="AE15" s="3176"/>
      <c r="AF15" s="3212"/>
      <c r="AG15" s="3181"/>
      <c r="AI15" s="1121"/>
    </row>
    <row r="16" spans="1:251" ht="16.5" customHeight="1">
      <c r="A16" s="246" t="s">
        <v>13</v>
      </c>
      <c r="B16" s="376"/>
      <c r="C16" s="376"/>
      <c r="D16" s="376"/>
      <c r="E16" s="376"/>
      <c r="F16" s="376"/>
      <c r="G16" s="376"/>
      <c r="H16" s="376"/>
      <c r="I16" s="376"/>
      <c r="J16" s="376"/>
      <c r="K16" s="376"/>
      <c r="L16" s="376"/>
      <c r="M16" s="376"/>
      <c r="N16" s="234"/>
      <c r="O16" s="376"/>
      <c r="P16" s="376"/>
      <c r="Q16" s="376"/>
      <c r="R16" s="376"/>
      <c r="S16" s="376"/>
      <c r="T16" s="376"/>
      <c r="U16" s="376"/>
      <c r="V16" s="376"/>
      <c r="W16" s="376"/>
      <c r="X16" s="3176"/>
      <c r="Y16" s="3176"/>
      <c r="Z16" s="3200"/>
      <c r="AA16" s="3176"/>
      <c r="AB16" s="3201"/>
      <c r="AC16" s="3202"/>
      <c r="AD16" s="3176"/>
      <c r="AE16" s="1667"/>
      <c r="AF16" s="1651"/>
      <c r="AG16" s="1668"/>
      <c r="AI16" s="1134"/>
    </row>
    <row r="17" spans="1:36" s="1076" customFormat="1" ht="16.5" customHeight="1">
      <c r="A17" s="190" t="s">
        <v>177</v>
      </c>
      <c r="B17" s="234">
        <v>55.2</v>
      </c>
      <c r="C17" s="234"/>
      <c r="D17" s="234">
        <v>27.299999999999997</v>
      </c>
      <c r="E17" s="234"/>
      <c r="F17" s="234">
        <v>41.400000000000006</v>
      </c>
      <c r="G17" s="234"/>
      <c r="H17" s="234">
        <v>38.599999999999994</v>
      </c>
      <c r="I17" s="1559"/>
      <c r="J17" s="234">
        <v>32.399999999999991</v>
      </c>
      <c r="K17" s="1559"/>
      <c r="L17" s="234">
        <v>50.100000000000009</v>
      </c>
      <c r="M17" s="1559"/>
      <c r="N17" s="234">
        <v>31</v>
      </c>
      <c r="O17" s="1559"/>
      <c r="P17" s="1557">
        <v>51.600000000000037</v>
      </c>
      <c r="Q17" s="1559"/>
      <c r="R17" s="1557">
        <v>47.399999999999963</v>
      </c>
      <c r="S17" s="1559"/>
      <c r="T17" s="1557">
        <f>$AA17-$B17-$D17-$F17-$H17-$J17-$L17-$N17-R17-P17</f>
        <v>40.199999999999932</v>
      </c>
      <c r="U17" s="1559"/>
      <c r="V17" s="1557"/>
      <c r="W17" s="1559"/>
      <c r="X17" s="1557"/>
      <c r="Y17" s="1559"/>
      <c r="Z17" s="1678"/>
      <c r="AA17" s="3203">
        <v>415.2</v>
      </c>
      <c r="AB17" s="3204"/>
      <c r="AC17" s="1652"/>
      <c r="AD17" s="3203">
        <v>329.7</v>
      </c>
      <c r="AE17" s="1679"/>
      <c r="AF17" s="1651"/>
      <c r="AG17" s="1680">
        <f>ROUND(SUM(AA17-AD17),1)</f>
        <v>85.5</v>
      </c>
      <c r="AH17" s="1641"/>
      <c r="AI17" s="1681">
        <f>ROUND(IF(AG17=0,0,AG17/ABS(AD17)),3)</f>
        <v>0.25900000000000001</v>
      </c>
    </row>
    <row r="18" spans="1:36" ht="16.5" customHeight="1">
      <c r="A18" s="146"/>
      <c r="B18" s="378"/>
      <c r="C18" s="234"/>
      <c r="D18" s="378"/>
      <c r="E18" s="234"/>
      <c r="F18" s="378"/>
      <c r="G18" s="234"/>
      <c r="H18" s="378"/>
      <c r="I18" s="234"/>
      <c r="J18" s="378"/>
      <c r="K18" s="234"/>
      <c r="L18" s="378"/>
      <c r="M18" s="234"/>
      <c r="N18" s="378"/>
      <c r="O18" s="234"/>
      <c r="P18" s="378"/>
      <c r="Q18" s="234"/>
      <c r="R18" s="378"/>
      <c r="S18" s="234"/>
      <c r="T18" s="378"/>
      <c r="U18" s="234"/>
      <c r="V18" s="378"/>
      <c r="W18" s="234"/>
      <c r="X18" s="2178"/>
      <c r="Y18" s="1559"/>
      <c r="Z18" s="1678"/>
      <c r="AA18" s="1012"/>
      <c r="AB18" s="3204"/>
      <c r="AC18" s="1652"/>
      <c r="AD18" s="1012"/>
      <c r="AE18" s="1652"/>
      <c r="AF18" s="1651"/>
      <c r="AG18" s="1668"/>
      <c r="AI18" s="1121"/>
    </row>
    <row r="19" spans="1:36" ht="16.5" customHeight="1">
      <c r="A19" s="246" t="s">
        <v>149</v>
      </c>
      <c r="B19" s="379">
        <f>ROUND(SUM(B17),1)</f>
        <v>55.2</v>
      </c>
      <c r="C19" s="379"/>
      <c r="D19" s="379">
        <f>ROUND(SUM(D17),1)</f>
        <v>27.3</v>
      </c>
      <c r="E19" s="379"/>
      <c r="F19" s="379">
        <f>ROUND(SUM(F17),1)</f>
        <v>41.4</v>
      </c>
      <c r="G19" s="379"/>
      <c r="H19" s="379">
        <f>ROUND(SUM(H17),1)</f>
        <v>38.6</v>
      </c>
      <c r="I19" s="379"/>
      <c r="J19" s="379">
        <f>ROUND(SUM(J17),1)</f>
        <v>32.4</v>
      </c>
      <c r="K19" s="379"/>
      <c r="L19" s="379">
        <f>ROUND(SUM(L17),1)</f>
        <v>50.1</v>
      </c>
      <c r="M19" s="379"/>
      <c r="N19" s="379">
        <f>ROUND(SUM(N17),1)</f>
        <v>31</v>
      </c>
      <c r="O19" s="379"/>
      <c r="P19" s="379">
        <f>ROUND(SUM(P17),1)</f>
        <v>51.6</v>
      </c>
      <c r="Q19" s="379"/>
      <c r="R19" s="379">
        <f>ROUND(SUM(R17),1)</f>
        <v>47.4</v>
      </c>
      <c r="S19" s="379"/>
      <c r="T19" s="379">
        <f>ROUND(SUM(T17),1)</f>
        <v>40.200000000000003</v>
      </c>
      <c r="U19" s="379"/>
      <c r="V19" s="379">
        <f>ROUND(SUM(V17),1)</f>
        <v>0</v>
      </c>
      <c r="W19" s="379"/>
      <c r="X19" s="2180">
        <f>ROUND(SUM(X17),1)</f>
        <v>0</v>
      </c>
      <c r="Y19" s="2180"/>
      <c r="Z19" s="2181"/>
      <c r="AA19" s="2180">
        <f>ROUND(SUM(AA17),1)</f>
        <v>415.2</v>
      </c>
      <c r="AB19" s="3205"/>
      <c r="AC19" s="3206"/>
      <c r="AD19" s="2180">
        <f>ROUND(SUM(AD17),1)</f>
        <v>329.7</v>
      </c>
      <c r="AE19" s="1559"/>
      <c r="AF19" s="1651"/>
      <c r="AG19" s="3185">
        <f>ROUND(SUM(AG17),1)</f>
        <v>85.5</v>
      </c>
      <c r="AH19" s="1132"/>
      <c r="AI19" s="1133">
        <f>ROUND(IF(AG19=0,0,AG19/ABS(AD19)),3)</f>
        <v>0.25900000000000001</v>
      </c>
    </row>
    <row r="20" spans="1:36" ht="16.5" customHeight="1">
      <c r="A20" s="146"/>
      <c r="B20" s="378"/>
      <c r="C20" s="234"/>
      <c r="D20" s="378"/>
      <c r="E20" s="234"/>
      <c r="F20" s="378"/>
      <c r="G20" s="234"/>
      <c r="H20" s="378"/>
      <c r="I20" s="234"/>
      <c r="J20" s="378"/>
      <c r="K20" s="234"/>
      <c r="L20" s="378"/>
      <c r="M20" s="234"/>
      <c r="N20" s="378"/>
      <c r="O20" s="234"/>
      <c r="P20" s="378"/>
      <c r="Q20" s="234"/>
      <c r="R20" s="378"/>
      <c r="S20" s="234"/>
      <c r="T20" s="378"/>
      <c r="U20" s="234"/>
      <c r="V20" s="378"/>
      <c r="W20" s="234"/>
      <c r="X20" s="2178"/>
      <c r="Y20" s="1559"/>
      <c r="Z20" s="1678"/>
      <c r="AA20" s="2178"/>
      <c r="AB20" s="3204"/>
      <c r="AC20" s="1652"/>
      <c r="AD20" s="2178"/>
      <c r="AE20" s="1559"/>
      <c r="AF20" s="1651"/>
      <c r="AG20" s="1668"/>
      <c r="AI20" s="1121"/>
    </row>
    <row r="21" spans="1:36" ht="16.5" customHeight="1">
      <c r="A21" s="146"/>
      <c r="B21" s="234"/>
      <c r="C21" s="234"/>
      <c r="D21" s="234"/>
      <c r="E21" s="234"/>
      <c r="F21" s="234"/>
      <c r="G21" s="234"/>
      <c r="H21" s="234"/>
      <c r="I21" s="234"/>
      <c r="J21" s="234"/>
      <c r="K21" s="234"/>
      <c r="L21" s="234"/>
      <c r="M21" s="234"/>
      <c r="N21" s="234"/>
      <c r="O21" s="234"/>
      <c r="P21" s="234"/>
      <c r="Q21" s="234"/>
      <c r="R21" s="234"/>
      <c r="S21" s="234"/>
      <c r="T21" s="234"/>
      <c r="U21" s="234"/>
      <c r="V21" s="234"/>
      <c r="W21" s="234"/>
      <c r="X21" s="1559"/>
      <c r="Y21" s="1559"/>
      <c r="Z21" s="1678"/>
      <c r="AA21" s="1559"/>
      <c r="AB21" s="3204"/>
      <c r="AC21" s="1652"/>
      <c r="AD21" s="1559"/>
      <c r="AE21" s="1557"/>
      <c r="AF21" s="1657"/>
      <c r="AG21" s="1668"/>
      <c r="AI21" s="1134"/>
    </row>
    <row r="22" spans="1:36" ht="16.5" customHeight="1">
      <c r="A22" s="246" t="s">
        <v>22</v>
      </c>
      <c r="B22" s="234"/>
      <c r="C22" s="234"/>
      <c r="D22" s="234"/>
      <c r="E22" s="234"/>
      <c r="F22" s="234"/>
      <c r="G22" s="234"/>
      <c r="H22" s="234"/>
      <c r="I22" s="234"/>
      <c r="J22" s="234"/>
      <c r="K22" s="234"/>
      <c r="L22" s="234"/>
      <c r="M22" s="234"/>
      <c r="N22" s="234"/>
      <c r="O22" s="234"/>
      <c r="P22" s="234"/>
      <c r="Q22" s="234"/>
      <c r="R22" s="234"/>
      <c r="S22" s="234"/>
      <c r="T22" s="234"/>
      <c r="U22" s="234"/>
      <c r="V22" s="234"/>
      <c r="W22" s="234"/>
      <c r="X22" s="1559"/>
      <c r="Y22" s="1559"/>
      <c r="Z22" s="1678"/>
      <c r="AA22" s="1559"/>
      <c r="AB22" s="3204"/>
      <c r="AC22" s="1652"/>
      <c r="AD22" s="1559"/>
      <c r="AE22" s="1654"/>
      <c r="AF22" s="1657"/>
      <c r="AG22" s="1668"/>
      <c r="AH22" s="1135"/>
      <c r="AI22" s="1134"/>
    </row>
    <row r="23" spans="1:36" ht="16.5" customHeight="1">
      <c r="A23" s="146" t="s">
        <v>151</v>
      </c>
      <c r="B23" s="234"/>
      <c r="C23" s="234"/>
      <c r="D23" s="234"/>
      <c r="E23" s="234"/>
      <c r="F23" s="234"/>
      <c r="G23" s="234"/>
      <c r="H23" s="234"/>
      <c r="I23" s="234"/>
      <c r="J23" s="234"/>
      <c r="K23" s="234"/>
      <c r="L23" s="234"/>
      <c r="M23" s="234"/>
      <c r="N23" s="234"/>
      <c r="O23" s="234"/>
      <c r="P23" s="234"/>
      <c r="Q23" s="234"/>
      <c r="R23" s="234"/>
      <c r="S23" s="234"/>
      <c r="T23" s="234"/>
      <c r="U23" s="234"/>
      <c r="V23" s="234"/>
      <c r="W23" s="234"/>
      <c r="X23" s="1559" t="s">
        <v>14</v>
      </c>
      <c r="Y23" s="1559"/>
      <c r="Z23" s="1678"/>
      <c r="AA23" s="1654"/>
      <c r="AB23" s="3204"/>
      <c r="AC23" s="1652"/>
      <c r="AD23" s="1654"/>
      <c r="AE23" s="2176"/>
      <c r="AF23" s="1657"/>
      <c r="AG23" s="1668"/>
      <c r="AI23" s="1134"/>
    </row>
    <row r="24" spans="1:36" ht="16.5" customHeight="1">
      <c r="A24" s="146" t="s">
        <v>217</v>
      </c>
      <c r="B24" s="234">
        <v>9.6999999999999993</v>
      </c>
      <c r="C24" s="234"/>
      <c r="D24" s="234">
        <v>11.7</v>
      </c>
      <c r="E24" s="234"/>
      <c r="F24" s="234">
        <v>3.9000000000000021</v>
      </c>
      <c r="G24" s="234"/>
      <c r="H24" s="234">
        <v>11.400000000000002</v>
      </c>
      <c r="I24" s="1559"/>
      <c r="J24" s="234">
        <v>10.299999999999994</v>
      </c>
      <c r="K24" s="1559"/>
      <c r="L24" s="234">
        <v>14.29999999999999</v>
      </c>
      <c r="M24" s="1559"/>
      <c r="N24" s="234">
        <v>9.6999999999999993</v>
      </c>
      <c r="O24" s="1559"/>
      <c r="P24" s="1557">
        <v>16.299999999999994</v>
      </c>
      <c r="Q24" s="1559"/>
      <c r="R24" s="1557">
        <v>10.5</v>
      </c>
      <c r="S24" s="1559"/>
      <c r="T24" s="1557">
        <f t="shared" ref="T24:T26" si="0">$AA24-$B24-$D24-$F24-$H24-$J24-$L24-$N24-R24-P24</f>
        <v>9.9000000000000092</v>
      </c>
      <c r="U24" s="1559"/>
      <c r="V24" s="1557"/>
      <c r="W24" s="1559"/>
      <c r="X24" s="1557"/>
      <c r="Y24" s="1559"/>
      <c r="Z24" s="1678"/>
      <c r="AA24" s="1557">
        <v>107.7</v>
      </c>
      <c r="AB24" s="3204"/>
      <c r="AC24" s="1652"/>
      <c r="AD24" s="1557">
        <v>113.6</v>
      </c>
      <c r="AE24" s="2177"/>
      <c r="AF24" s="1657"/>
      <c r="AG24" s="1668">
        <f>ROUND(SUM(AA24-AD24),1)</f>
        <v>-5.9</v>
      </c>
      <c r="AI24" s="1136">
        <f>ROUND(IF(AG24=0,0,AG24/ABS(AD24)),3)</f>
        <v>-5.1999999999999998E-2</v>
      </c>
    </row>
    <row r="25" spans="1:36" ht="16.5" customHeight="1">
      <c r="A25" s="146" t="s">
        <v>178</v>
      </c>
      <c r="B25" s="234">
        <v>31.1</v>
      </c>
      <c r="C25" s="234"/>
      <c r="D25" s="234">
        <v>61.6</v>
      </c>
      <c r="E25" s="234"/>
      <c r="F25" s="234">
        <v>5.8000000000000043</v>
      </c>
      <c r="G25" s="234"/>
      <c r="H25" s="234">
        <v>32.1</v>
      </c>
      <c r="I25" s="1559"/>
      <c r="J25" s="234">
        <v>38.300000000000004</v>
      </c>
      <c r="K25" s="1559"/>
      <c r="L25" s="234">
        <v>47.29999999999999</v>
      </c>
      <c r="M25" s="1559"/>
      <c r="N25" s="234">
        <v>34.600000000000016</v>
      </c>
      <c r="O25" s="1559"/>
      <c r="P25" s="1557">
        <v>36.399999999999956</v>
      </c>
      <c r="Q25" s="1559"/>
      <c r="R25" s="1557">
        <v>44.600000000000016</v>
      </c>
      <c r="S25" s="1559"/>
      <c r="T25" s="1557">
        <f t="shared" si="0"/>
        <v>48.59999999999993</v>
      </c>
      <c r="U25" s="1559"/>
      <c r="V25" s="1557"/>
      <c r="W25" s="1559"/>
      <c r="X25" s="1557"/>
      <c r="Y25" s="1559"/>
      <c r="Z25" s="1678"/>
      <c r="AA25" s="1557">
        <v>380.4</v>
      </c>
      <c r="AB25" s="3204"/>
      <c r="AC25" s="1652"/>
      <c r="AD25" s="1557">
        <v>366.7</v>
      </c>
      <c r="AE25" s="1652"/>
      <c r="AF25" s="1651"/>
      <c r="AG25" s="1668">
        <f>ROUND(SUM(AA25-AD25),1)</f>
        <v>13.7</v>
      </c>
      <c r="AI25" s="1136">
        <f>ROUND(IF(AG25=0,0,AG25/ABS(AD25)),3)</f>
        <v>3.6999999999999998E-2</v>
      </c>
      <c r="AJ25" s="3493"/>
    </row>
    <row r="26" spans="1:36" ht="16.5" customHeight="1">
      <c r="A26" s="146" t="s">
        <v>154</v>
      </c>
      <c r="B26" s="234">
        <v>2.7</v>
      </c>
      <c r="C26" s="234"/>
      <c r="D26" s="234">
        <v>5.4999999999999991</v>
      </c>
      <c r="E26" s="234"/>
      <c r="F26" s="234">
        <v>6.5000000000000009</v>
      </c>
      <c r="G26" s="234"/>
      <c r="H26" s="234">
        <v>4.1999999999999984</v>
      </c>
      <c r="I26" s="1559"/>
      <c r="J26" s="234">
        <v>5.7000000000000037</v>
      </c>
      <c r="K26" s="1559"/>
      <c r="L26" s="234">
        <v>4.3999999999999977</v>
      </c>
      <c r="M26" s="1559"/>
      <c r="N26" s="234">
        <v>4.1000000000000023</v>
      </c>
      <c r="O26" s="1559"/>
      <c r="P26" s="1557">
        <v>7.7999999999999927</v>
      </c>
      <c r="Q26" s="1559"/>
      <c r="R26" s="1557">
        <v>7.1000000000000023</v>
      </c>
      <c r="S26" s="1559"/>
      <c r="T26" s="1557">
        <f t="shared" si="0"/>
        <v>4.6000000000000059</v>
      </c>
      <c r="U26" s="1559"/>
      <c r="V26" s="1557"/>
      <c r="W26" s="1559"/>
      <c r="X26" s="1557"/>
      <c r="Y26" s="1559"/>
      <c r="Z26" s="1678"/>
      <c r="AA26" s="1557">
        <v>52.6</v>
      </c>
      <c r="AB26" s="3204"/>
      <c r="AC26" s="1652"/>
      <c r="AD26" s="1557">
        <v>52</v>
      </c>
      <c r="AE26" s="1559"/>
      <c r="AF26" s="1651"/>
      <c r="AG26" s="1680">
        <f>ROUND(SUM(AA26-AD26),1)</f>
        <v>0.6</v>
      </c>
      <c r="AI26" s="3495">
        <f>ROUND(IF(AD26=0,1,AG26/ABS(AD26)),3)</f>
        <v>1.2E-2</v>
      </c>
      <c r="AJ26" s="3493"/>
    </row>
    <row r="27" spans="1:36" ht="16.5" customHeight="1">
      <c r="A27" s="146"/>
      <c r="B27" s="378"/>
      <c r="C27" s="234"/>
      <c r="D27" s="378"/>
      <c r="E27" s="234"/>
      <c r="F27" s="378"/>
      <c r="G27" s="234"/>
      <c r="H27" s="378"/>
      <c r="I27" s="234"/>
      <c r="J27" s="378"/>
      <c r="K27" s="234"/>
      <c r="L27" s="378"/>
      <c r="M27" s="234"/>
      <c r="N27" s="378"/>
      <c r="O27" s="234"/>
      <c r="P27" s="378"/>
      <c r="Q27" s="234"/>
      <c r="R27" s="378"/>
      <c r="S27" s="234"/>
      <c r="T27" s="378"/>
      <c r="U27" s="234"/>
      <c r="V27" s="378"/>
      <c r="W27" s="234"/>
      <c r="X27" s="2178"/>
      <c r="Y27" s="1559"/>
      <c r="Z27" s="1678"/>
      <c r="AA27" s="2178"/>
      <c r="AB27" s="3204"/>
      <c r="AC27" s="1652"/>
      <c r="AD27" s="2178"/>
      <c r="AE27" s="2179"/>
      <c r="AF27" s="1657"/>
      <c r="AG27" s="1668"/>
      <c r="AH27" s="1137"/>
      <c r="AI27" s="1134"/>
    </row>
    <row r="28" spans="1:36" ht="16.5" customHeight="1">
      <c r="A28" s="246" t="s">
        <v>155</v>
      </c>
      <c r="B28" s="379">
        <f>ROUND(SUM(B24:B27),1)</f>
        <v>43.5</v>
      </c>
      <c r="C28" s="379"/>
      <c r="D28" s="379">
        <f>ROUND(SUM(D24:D27),1)</f>
        <v>78.8</v>
      </c>
      <c r="E28" s="379"/>
      <c r="F28" s="379">
        <f>ROUND(SUM(F24:F27),1)</f>
        <v>16.2</v>
      </c>
      <c r="G28" s="379"/>
      <c r="H28" s="379">
        <f>ROUND(SUM(H24:H27),1)</f>
        <v>47.7</v>
      </c>
      <c r="I28" s="379"/>
      <c r="J28" s="379">
        <f>ROUND(SUM(J24:J27),1)</f>
        <v>54.3</v>
      </c>
      <c r="K28" s="379"/>
      <c r="L28" s="379">
        <f>ROUND(SUM(L24:L27),1)</f>
        <v>66</v>
      </c>
      <c r="M28" s="379"/>
      <c r="N28" s="379">
        <f>ROUND(SUM(N24:N27),1)</f>
        <v>48.4</v>
      </c>
      <c r="O28" s="379"/>
      <c r="P28" s="379">
        <f>ROUND(SUM(P24:P27),1)</f>
        <v>60.5</v>
      </c>
      <c r="Q28" s="379"/>
      <c r="R28" s="379">
        <f>ROUND(SUM(R24:R27),1)</f>
        <v>62.2</v>
      </c>
      <c r="S28" s="379"/>
      <c r="T28" s="379">
        <f>ROUND(SUM(T24:T27),1)</f>
        <v>63.1</v>
      </c>
      <c r="U28" s="379"/>
      <c r="V28" s="379">
        <f>ROUND(SUM(V24:V27),1)</f>
        <v>0</v>
      </c>
      <c r="W28" s="379">
        <f>SUM(W24:W27)</f>
        <v>0</v>
      </c>
      <c r="X28" s="2180">
        <f>ROUND(SUM(X24:X26),1)</f>
        <v>0</v>
      </c>
      <c r="Y28" s="2180"/>
      <c r="Z28" s="2181"/>
      <c r="AA28" s="2180">
        <f>ROUND(SUM(AA23:AA26),1)</f>
        <v>540.70000000000005</v>
      </c>
      <c r="AB28" s="3205"/>
      <c r="AC28" s="3206"/>
      <c r="AD28" s="2180">
        <f>ROUND(SUM(AD23:AD26),1)</f>
        <v>532.29999999999995</v>
      </c>
      <c r="AE28" s="1652"/>
      <c r="AF28" s="1662"/>
      <c r="AG28" s="3185">
        <f>ROUND(SUM(AG24:AG26),1)</f>
        <v>8.4</v>
      </c>
      <c r="AH28" s="1132"/>
      <c r="AI28" s="1133">
        <f>ROUND(IF(AG28=0,0,AG28/ABS(AD28)),3)</f>
        <v>1.6E-2</v>
      </c>
    </row>
    <row r="29" spans="1:36" ht="16.5" customHeight="1">
      <c r="A29" s="146"/>
      <c r="B29" s="378"/>
      <c r="C29" s="234"/>
      <c r="D29" s="378"/>
      <c r="E29" s="234"/>
      <c r="F29" s="378"/>
      <c r="G29" s="234"/>
      <c r="H29" s="378"/>
      <c r="I29" s="234"/>
      <c r="J29" s="378"/>
      <c r="K29" s="234"/>
      <c r="L29" s="378"/>
      <c r="M29" s="234"/>
      <c r="N29" s="378"/>
      <c r="O29" s="234"/>
      <c r="P29" s="378"/>
      <c r="Q29" s="234"/>
      <c r="R29" s="378"/>
      <c r="S29" s="234"/>
      <c r="T29" s="378"/>
      <c r="U29" s="234"/>
      <c r="V29" s="378"/>
      <c r="W29" s="234"/>
      <c r="X29" s="2178"/>
      <c r="Y29" s="1559"/>
      <c r="Z29" s="1678"/>
      <c r="AA29" s="2178"/>
      <c r="AB29" s="3204"/>
      <c r="AC29" s="1652"/>
      <c r="AD29" s="2178"/>
      <c r="AE29" s="1559"/>
      <c r="AF29" s="1662"/>
      <c r="AG29" s="1668"/>
      <c r="AI29" s="1121"/>
    </row>
    <row r="30" spans="1:36" ht="16.5" customHeight="1">
      <c r="A30" s="146"/>
      <c r="B30" s="234"/>
      <c r="C30" s="234"/>
      <c r="D30" s="234"/>
      <c r="E30" s="234"/>
      <c r="F30" s="234"/>
      <c r="G30" s="234"/>
      <c r="H30" s="234"/>
      <c r="I30" s="234"/>
      <c r="J30" s="234"/>
      <c r="K30" s="234"/>
      <c r="L30" s="234"/>
      <c r="M30" s="234"/>
      <c r="N30" s="234"/>
      <c r="O30" s="234"/>
      <c r="P30" s="234"/>
      <c r="Q30" s="234"/>
      <c r="R30" s="234"/>
      <c r="S30" s="234"/>
      <c r="T30" s="234"/>
      <c r="U30" s="234"/>
      <c r="V30" s="234"/>
      <c r="W30" s="234"/>
      <c r="X30" s="1559"/>
      <c r="Y30" s="1559"/>
      <c r="Z30" s="1678"/>
      <c r="AA30" s="1559"/>
      <c r="AB30" s="3204"/>
      <c r="AC30" s="1652"/>
      <c r="AD30" s="1559"/>
      <c r="AE30" s="1654"/>
      <c r="AF30" s="1662"/>
      <c r="AG30" s="1668"/>
      <c r="AH30" s="1135"/>
      <c r="AI30" s="1134"/>
    </row>
    <row r="31" spans="1:36" ht="16.5" customHeight="1">
      <c r="A31" s="246" t="s">
        <v>156</v>
      </c>
      <c r="B31" s="234"/>
      <c r="C31" s="234"/>
      <c r="D31" s="234"/>
      <c r="E31" s="234"/>
      <c r="F31" s="234"/>
      <c r="G31" s="234"/>
      <c r="H31" s="234"/>
      <c r="I31" s="234"/>
      <c r="J31" s="234"/>
      <c r="K31" s="234"/>
      <c r="L31" s="234"/>
      <c r="M31" s="234"/>
      <c r="N31" s="234"/>
      <c r="O31" s="234"/>
      <c r="P31" s="234"/>
      <c r="Q31" s="234"/>
      <c r="R31" s="234"/>
      <c r="S31" s="234"/>
      <c r="T31" s="234"/>
      <c r="U31" s="234"/>
      <c r="V31" s="234"/>
      <c r="W31" s="234"/>
      <c r="X31" s="1559"/>
      <c r="Y31" s="1559"/>
      <c r="Z31" s="1678"/>
      <c r="AA31" s="1559"/>
      <c r="AB31" s="3204"/>
      <c r="AC31" s="1652"/>
      <c r="AD31" s="1559"/>
      <c r="AE31" s="2182"/>
      <c r="AF31" s="1661"/>
      <c r="AG31" s="1668"/>
      <c r="AH31" s="1135"/>
      <c r="AI31" s="1134"/>
    </row>
    <row r="32" spans="1:36" ht="16.5" customHeight="1">
      <c r="A32" s="246" t="s">
        <v>44</v>
      </c>
      <c r="B32" s="379">
        <f>ROUND(B19-B28,1)</f>
        <v>11.7</v>
      </c>
      <c r="C32" s="379"/>
      <c r="D32" s="379">
        <f>ROUND(D19-D28,1)</f>
        <v>-51.5</v>
      </c>
      <c r="E32" s="379"/>
      <c r="F32" s="379">
        <f>ROUND(F19-F28,1)</f>
        <v>25.2</v>
      </c>
      <c r="G32" s="379"/>
      <c r="H32" s="379">
        <f>ROUND(H19-H28,1)</f>
        <v>-9.1</v>
      </c>
      <c r="I32" s="379"/>
      <c r="J32" s="379">
        <f>ROUND(J19-J28,1)</f>
        <v>-21.9</v>
      </c>
      <c r="K32" s="379"/>
      <c r="L32" s="379">
        <f>ROUND(L19-L28,1)</f>
        <v>-15.9</v>
      </c>
      <c r="M32" s="379"/>
      <c r="N32" s="379">
        <f>ROUND(N19-N28,1)</f>
        <v>-17.399999999999999</v>
      </c>
      <c r="O32" s="379"/>
      <c r="P32" s="379">
        <f>ROUND(P19-P28,1)</f>
        <v>-8.9</v>
      </c>
      <c r="Q32" s="379"/>
      <c r="R32" s="379">
        <f>ROUND(R19-R28,1)</f>
        <v>-14.8</v>
      </c>
      <c r="S32" s="379"/>
      <c r="T32" s="379">
        <f>ROUND(T19-T28,1)</f>
        <v>-22.9</v>
      </c>
      <c r="U32" s="379"/>
      <c r="V32" s="379">
        <f>ROUND(V19-V28,1)</f>
        <v>0</v>
      </c>
      <c r="W32" s="379"/>
      <c r="X32" s="2180">
        <f>ROUND(X19-X28,1)</f>
        <v>0</v>
      </c>
      <c r="Y32" s="2180"/>
      <c r="Z32" s="2181"/>
      <c r="AA32" s="2180">
        <f>ROUND(AA19-AA28,1)</f>
        <v>-125.5</v>
      </c>
      <c r="AB32" s="3205"/>
      <c r="AC32" s="3206"/>
      <c r="AD32" s="2180">
        <f>ROUND(AD19-AD28,1)</f>
        <v>-202.6</v>
      </c>
      <c r="AE32" s="1652"/>
      <c r="AF32" s="1651"/>
      <c r="AG32" s="3185">
        <f>ROUND(SUM(AG19-AG28),1)</f>
        <v>77.099999999999994</v>
      </c>
      <c r="AH32" s="1132"/>
      <c r="AI32" s="2098">
        <f>ROUND(IF(AG32=0,0,AG32/ABS(AD32)),3)</f>
        <v>0.38100000000000001</v>
      </c>
    </row>
    <row r="33" spans="1:35" ht="16.5" customHeight="1">
      <c r="A33" s="146"/>
      <c r="B33" s="378"/>
      <c r="C33" s="234"/>
      <c r="D33" s="378"/>
      <c r="E33" s="234"/>
      <c r="F33" s="378"/>
      <c r="G33" s="234"/>
      <c r="H33" s="378"/>
      <c r="I33" s="234"/>
      <c r="J33" s="378"/>
      <c r="K33" s="234"/>
      <c r="L33" s="378"/>
      <c r="M33" s="234"/>
      <c r="N33" s="378"/>
      <c r="O33" s="234"/>
      <c r="P33" s="378"/>
      <c r="Q33" s="234"/>
      <c r="R33" s="378"/>
      <c r="S33" s="234"/>
      <c r="T33" s="378"/>
      <c r="U33" s="234"/>
      <c r="V33" s="378"/>
      <c r="W33" s="234"/>
      <c r="X33" s="2178"/>
      <c r="Y33" s="1559"/>
      <c r="Z33" s="1678"/>
      <c r="AA33" s="2178"/>
      <c r="AB33" s="3204"/>
      <c r="AC33" s="1652"/>
      <c r="AD33" s="2178"/>
      <c r="AE33" s="1559"/>
      <c r="AF33" s="1651"/>
      <c r="AG33" s="1668"/>
      <c r="AI33" s="1121"/>
    </row>
    <row r="34" spans="1:35" ht="16.5" customHeight="1">
      <c r="A34" s="146"/>
      <c r="B34" s="234"/>
      <c r="C34" s="234"/>
      <c r="D34" s="234"/>
      <c r="E34" s="234"/>
      <c r="F34" s="234"/>
      <c r="G34" s="234"/>
      <c r="H34" s="234"/>
      <c r="I34" s="234"/>
      <c r="J34" s="234"/>
      <c r="K34" s="234"/>
      <c r="L34" s="234"/>
      <c r="M34" s="234"/>
      <c r="N34" s="234"/>
      <c r="O34" s="234"/>
      <c r="P34" s="234"/>
      <c r="Q34" s="234"/>
      <c r="R34" s="234"/>
      <c r="S34" s="234"/>
      <c r="T34" s="234"/>
      <c r="U34" s="234"/>
      <c r="V34" s="234"/>
      <c r="W34" s="234"/>
      <c r="X34" s="1559"/>
      <c r="Y34" s="1559"/>
      <c r="Z34" s="1678"/>
      <c r="AA34" s="1559"/>
      <c r="AB34" s="3204"/>
      <c r="AC34" s="1652"/>
      <c r="AD34" s="1559"/>
      <c r="AE34" s="2179"/>
      <c r="AF34" s="2184"/>
      <c r="AG34" s="1668"/>
      <c r="AI34" s="1134"/>
    </row>
    <row r="35" spans="1:35" ht="16.5" customHeight="1">
      <c r="A35" s="246" t="s">
        <v>45</v>
      </c>
      <c r="B35" s="234"/>
      <c r="C35" s="234"/>
      <c r="D35" s="234"/>
      <c r="E35" s="234"/>
      <c r="F35" s="234"/>
      <c r="G35" s="234"/>
      <c r="H35" s="234"/>
      <c r="I35" s="234"/>
      <c r="J35" s="234"/>
      <c r="K35" s="234"/>
      <c r="L35" s="234"/>
      <c r="M35" s="234"/>
      <c r="N35" s="234"/>
      <c r="O35" s="234"/>
      <c r="P35" s="234"/>
      <c r="Q35" s="234"/>
      <c r="R35" s="234"/>
      <c r="S35" s="234"/>
      <c r="T35" s="234"/>
      <c r="U35" s="234"/>
      <c r="V35" s="234"/>
      <c r="W35" s="234"/>
      <c r="X35" s="1559"/>
      <c r="Y35" s="1559"/>
      <c r="Z35" s="1678"/>
      <c r="AA35" s="1559"/>
      <c r="AB35" s="3204"/>
      <c r="AC35" s="1652"/>
      <c r="AD35" s="1559"/>
      <c r="AE35" s="2185"/>
      <c r="AF35" s="2186"/>
      <c r="AG35" s="1690"/>
      <c r="AH35" s="1138"/>
      <c r="AI35" s="1134"/>
    </row>
    <row r="36" spans="1:35" ht="16.5" customHeight="1">
      <c r="A36" s="146" t="s">
        <v>180</v>
      </c>
      <c r="B36" s="234">
        <v>2.5</v>
      </c>
      <c r="C36" s="234"/>
      <c r="D36" s="234">
        <v>2.7</v>
      </c>
      <c r="E36" s="234"/>
      <c r="F36" s="234">
        <v>38.299999999999997</v>
      </c>
      <c r="G36" s="234"/>
      <c r="H36" s="234">
        <v>3.3999999999999986</v>
      </c>
      <c r="I36" s="1559"/>
      <c r="J36" s="234">
        <v>30.4</v>
      </c>
      <c r="K36" s="1559"/>
      <c r="L36" s="234">
        <v>4.7000000000000028</v>
      </c>
      <c r="M36" s="1559"/>
      <c r="N36" s="234">
        <v>2.7999999999999972</v>
      </c>
      <c r="O36" s="1559"/>
      <c r="P36" s="1557">
        <v>2</v>
      </c>
      <c r="Q36" s="1559"/>
      <c r="R36" s="1557">
        <v>5.6000000000000085</v>
      </c>
      <c r="S36" s="1559"/>
      <c r="T36" s="1557">
        <f t="shared" ref="T36:T37" si="1">$AA36-$B36-$D36-$F36-$H36-$J36-$L36-$N36-R36-P36</f>
        <v>3</v>
      </c>
      <c r="U36" s="1559"/>
      <c r="V36" s="1557"/>
      <c r="W36" s="1559"/>
      <c r="X36" s="1557"/>
      <c r="Y36" s="1559"/>
      <c r="Z36" s="1678"/>
      <c r="AA36" s="1557">
        <v>95.4</v>
      </c>
      <c r="AB36" s="3204"/>
      <c r="AC36" s="1652"/>
      <c r="AD36" s="1557">
        <v>89.9</v>
      </c>
      <c r="AE36" s="2187"/>
      <c r="AF36" s="1689"/>
      <c r="AG36" s="1668">
        <f>ROUND(SUM(AA36-AD36),1)</f>
        <v>5.5</v>
      </c>
      <c r="AH36" s="1135"/>
      <c r="AI36" s="1136">
        <f>ROUND(IF(AG36=0,0,AG36/ABS(AD36)),3)</f>
        <v>6.0999999999999999E-2</v>
      </c>
    </row>
    <row r="37" spans="1:35" s="1076" customFormat="1" ht="16.5" customHeight="1">
      <c r="A37" s="190" t="s">
        <v>181</v>
      </c>
      <c r="B37" s="234">
        <v>-0.1</v>
      </c>
      <c r="C37" s="1559"/>
      <c r="D37" s="234">
        <v>0</v>
      </c>
      <c r="E37" s="1559"/>
      <c r="F37" s="234">
        <v>-4.3000000000000007</v>
      </c>
      <c r="G37" s="1559"/>
      <c r="H37" s="234">
        <v>-9.9999999999999645E-2</v>
      </c>
      <c r="I37" s="1559"/>
      <c r="J37" s="234">
        <v>0</v>
      </c>
      <c r="K37" s="1559"/>
      <c r="L37" s="234">
        <v>0</v>
      </c>
      <c r="M37" s="1559"/>
      <c r="N37" s="234">
        <v>0</v>
      </c>
      <c r="O37" s="1559"/>
      <c r="P37" s="1557">
        <v>0</v>
      </c>
      <c r="Q37" s="1559"/>
      <c r="R37" s="1557">
        <v>-0.5</v>
      </c>
      <c r="S37" s="1559"/>
      <c r="T37" s="1557">
        <f t="shared" si="1"/>
        <v>0</v>
      </c>
      <c r="U37" s="1559"/>
      <c r="V37" s="1557"/>
      <c r="W37" s="1559"/>
      <c r="X37" s="1557"/>
      <c r="Y37" s="1559"/>
      <c r="Z37" s="1678"/>
      <c r="AA37" s="1557">
        <v>-5</v>
      </c>
      <c r="AB37" s="3204"/>
      <c r="AC37" s="1652"/>
      <c r="AD37" s="1557">
        <v>-3.3</v>
      </c>
      <c r="AE37" s="114"/>
      <c r="AF37" s="1689"/>
      <c r="AG37" s="2988">
        <f>-ROUND(SUM(AA37-AD37),1)</f>
        <v>1.7</v>
      </c>
      <c r="AH37" s="1660"/>
      <c r="AI37" s="3864">
        <f>ROUND(IF(AG37=0,0,AG37/ABS(AD37)),3)</f>
        <v>0.51500000000000001</v>
      </c>
    </row>
    <row r="38" spans="1:35" ht="16.5" customHeight="1">
      <c r="A38" s="146"/>
      <c r="B38" s="378"/>
      <c r="C38" s="234"/>
      <c r="D38" s="378"/>
      <c r="E38" s="234"/>
      <c r="F38" s="378"/>
      <c r="G38" s="234"/>
      <c r="H38" s="378"/>
      <c r="I38" s="234"/>
      <c r="J38" s="378"/>
      <c r="K38" s="234"/>
      <c r="L38" s="378"/>
      <c r="M38" s="234"/>
      <c r="N38" s="378"/>
      <c r="O38" s="234"/>
      <c r="P38" s="378"/>
      <c r="Q38" s="234"/>
      <c r="R38" s="378"/>
      <c r="S38" s="234"/>
      <c r="T38" s="378"/>
      <c r="U38" s="234"/>
      <c r="V38" s="378"/>
      <c r="W38" s="234"/>
      <c r="X38" s="2178"/>
      <c r="Y38" s="1559"/>
      <c r="Z38" s="1678"/>
      <c r="AA38" s="3207"/>
      <c r="AB38" s="3204"/>
      <c r="AC38" s="1652"/>
      <c r="AD38" s="3207"/>
      <c r="AE38" s="137"/>
      <c r="AF38" s="1689"/>
      <c r="AG38" s="3181"/>
    </row>
    <row r="39" spans="1:35" ht="16.5" customHeight="1">
      <c r="A39" s="246" t="s">
        <v>206</v>
      </c>
      <c r="B39" s="379">
        <f>ROUND(SUM(B36:B38),1)</f>
        <v>2.4</v>
      </c>
      <c r="C39" s="379"/>
      <c r="D39" s="379">
        <f>ROUND(SUM(D36:D38),1)</f>
        <v>2.7</v>
      </c>
      <c r="E39" s="379"/>
      <c r="F39" s="379">
        <f>ROUND(SUM(F36:F38),1)</f>
        <v>34</v>
      </c>
      <c r="G39" s="379"/>
      <c r="H39" s="379">
        <f>ROUND(SUM(H36:H38),1)</f>
        <v>3.3</v>
      </c>
      <c r="I39" s="379"/>
      <c r="J39" s="379">
        <f>ROUND(SUM(J36:J38),1)</f>
        <v>30.4</v>
      </c>
      <c r="K39" s="379"/>
      <c r="L39" s="379">
        <f>ROUND(SUM(L36:L38),1)</f>
        <v>4.7</v>
      </c>
      <c r="M39" s="379"/>
      <c r="N39" s="379">
        <f>ROUND(SUM(N36:N38),1)</f>
        <v>2.8</v>
      </c>
      <c r="O39" s="379"/>
      <c r="P39" s="379">
        <f>ROUND(SUM(P36:P38),1)</f>
        <v>2</v>
      </c>
      <c r="Q39" s="379"/>
      <c r="R39" s="379">
        <f>ROUND(SUM(R36:R38),1)</f>
        <v>5.0999999999999996</v>
      </c>
      <c r="S39" s="379"/>
      <c r="T39" s="379">
        <f>ROUND(SUM(T36:T38),1)</f>
        <v>3</v>
      </c>
      <c r="U39" s="379"/>
      <c r="V39" s="379">
        <f>ROUND(SUM(V36:V38),1)</f>
        <v>0</v>
      </c>
      <c r="W39" s="379"/>
      <c r="X39" s="2180">
        <f>ROUND(SUM(X36:X38),1)</f>
        <v>0</v>
      </c>
      <c r="Y39" s="2180"/>
      <c r="Z39" s="2181"/>
      <c r="AA39" s="2180">
        <f>ROUND(SUM(AA36:AA38),1)</f>
        <v>90.4</v>
      </c>
      <c r="AB39" s="3205"/>
      <c r="AC39" s="3206"/>
      <c r="AD39" s="2180">
        <f>ROUND(SUM(AD36:AD38),1)</f>
        <v>86.6</v>
      </c>
      <c r="AF39" s="1657"/>
      <c r="AG39" s="3185">
        <f>AA39-AD39</f>
        <v>3.8000000000000114</v>
      </c>
      <c r="AH39" s="1139"/>
      <c r="AI39" s="1133">
        <f>ROUND(IF(AG39=0,0,AG39/ABS(AD39)),3)</f>
        <v>4.3999999999999997E-2</v>
      </c>
    </row>
    <row r="40" spans="1:35" ht="16.5" customHeight="1">
      <c r="A40" s="146"/>
      <c r="B40" s="378"/>
      <c r="C40" s="234"/>
      <c r="D40" s="378"/>
      <c r="E40" s="234"/>
      <c r="F40" s="378"/>
      <c r="G40" s="234"/>
      <c r="H40" s="378"/>
      <c r="I40" s="234"/>
      <c r="J40" s="378"/>
      <c r="K40" s="234"/>
      <c r="L40" s="378"/>
      <c r="M40" s="234"/>
      <c r="N40" s="378"/>
      <c r="O40" s="234"/>
      <c r="P40" s="378"/>
      <c r="Q40" s="234"/>
      <c r="R40" s="378"/>
      <c r="S40" s="234"/>
      <c r="T40" s="378"/>
      <c r="U40" s="234"/>
      <c r="V40" s="378"/>
      <c r="W40" s="234"/>
      <c r="X40" s="2178"/>
      <c r="Y40" s="1559"/>
      <c r="Z40" s="1678"/>
      <c r="AA40" s="2178"/>
      <c r="AB40" s="3204"/>
      <c r="AC40" s="1652"/>
      <c r="AD40" s="2178"/>
      <c r="AE40" s="137"/>
      <c r="AF40" s="1689"/>
      <c r="AG40" s="3181"/>
    </row>
    <row r="41" spans="1:35" ht="16.5" customHeight="1">
      <c r="A41" s="146"/>
      <c r="B41" s="234"/>
      <c r="C41" s="234"/>
      <c r="D41" s="234"/>
      <c r="E41" s="234"/>
      <c r="F41" s="234"/>
      <c r="G41" s="234"/>
      <c r="H41" s="234"/>
      <c r="I41" s="234"/>
      <c r="J41" s="234"/>
      <c r="K41" s="234"/>
      <c r="L41" s="234"/>
      <c r="M41" s="234"/>
      <c r="N41" s="234"/>
      <c r="O41" s="234"/>
      <c r="P41" s="234"/>
      <c r="Q41" s="234"/>
      <c r="R41" s="234"/>
      <c r="S41" s="234"/>
      <c r="T41" s="234"/>
      <c r="U41" s="234"/>
      <c r="V41" s="234"/>
      <c r="W41" s="234"/>
      <c r="X41" s="1559"/>
      <c r="Y41" s="1559"/>
      <c r="Z41" s="1678"/>
      <c r="AA41" s="1559"/>
      <c r="AB41" s="3204"/>
      <c r="AC41" s="1652"/>
      <c r="AD41" s="1559"/>
      <c r="AE41" s="137"/>
      <c r="AF41" s="1689"/>
    </row>
    <row r="42" spans="1:35" ht="16.5" customHeight="1">
      <c r="A42" s="246" t="s">
        <v>164</v>
      </c>
      <c r="B42" s="234"/>
      <c r="C42" s="234"/>
      <c r="D42" s="234"/>
      <c r="E42" s="234"/>
      <c r="F42" s="234"/>
      <c r="G42" s="234"/>
      <c r="H42" s="234"/>
      <c r="I42" s="234"/>
      <c r="J42" s="234"/>
      <c r="K42" s="234"/>
      <c r="L42" s="234"/>
      <c r="M42" s="234"/>
      <c r="N42" s="234"/>
      <c r="O42" s="234"/>
      <c r="P42" s="234"/>
      <c r="Q42" s="234"/>
      <c r="R42" s="234"/>
      <c r="S42" s="234"/>
      <c r="T42" s="234"/>
      <c r="U42" s="234"/>
      <c r="V42" s="234"/>
      <c r="W42" s="234"/>
      <c r="X42" s="1559"/>
      <c r="Y42" s="1559"/>
      <c r="Z42" s="1678"/>
      <c r="AA42" s="1559"/>
      <c r="AB42" s="3204"/>
      <c r="AC42" s="1652"/>
      <c r="AD42" s="1559"/>
      <c r="AE42" s="137"/>
      <c r="AF42" s="1689"/>
    </row>
    <row r="43" spans="1:35" ht="16.5" customHeight="1">
      <c r="A43" s="246" t="s">
        <v>225</v>
      </c>
      <c r="B43" s="234"/>
      <c r="C43" s="234"/>
      <c r="D43" s="234"/>
      <c r="E43" s="234"/>
      <c r="F43" s="234"/>
      <c r="G43" s="234"/>
      <c r="H43" s="234"/>
      <c r="I43" s="234"/>
      <c r="J43" s="234"/>
      <c r="K43" s="234"/>
      <c r="L43" s="234"/>
      <c r="M43" s="234"/>
      <c r="N43" s="234"/>
      <c r="O43" s="234"/>
      <c r="P43" s="234"/>
      <c r="Q43" s="234"/>
      <c r="R43" s="234"/>
      <c r="S43" s="234"/>
      <c r="T43" s="234"/>
      <c r="U43" s="234"/>
      <c r="V43" s="234"/>
      <c r="W43" s="234"/>
      <c r="X43" s="1559"/>
      <c r="Y43" s="1559"/>
      <c r="Z43" s="1678"/>
      <c r="AA43" s="1559"/>
      <c r="AB43" s="3204"/>
      <c r="AC43" s="1652"/>
      <c r="AD43" s="1559"/>
      <c r="AE43" s="104"/>
      <c r="AF43" s="1657"/>
    </row>
    <row r="44" spans="1:35" s="214" customFormat="1" ht="16.5" customHeight="1">
      <c r="A44" s="246" t="s">
        <v>166</v>
      </c>
      <c r="B44" s="379">
        <f>ROUND(SUM(B32,B39),1)</f>
        <v>14.1</v>
      </c>
      <c r="C44" s="379"/>
      <c r="D44" s="379">
        <f>ROUND(SUM(D32,D39),1)</f>
        <v>-48.8</v>
      </c>
      <c r="E44" s="379"/>
      <c r="F44" s="379">
        <f>ROUND(SUM(F32,F39),1)</f>
        <v>59.2</v>
      </c>
      <c r="G44" s="379"/>
      <c r="H44" s="379">
        <f>ROUND(SUM(H32,H39),1)</f>
        <v>-5.8</v>
      </c>
      <c r="I44" s="379"/>
      <c r="J44" s="379">
        <f>ROUND(SUM(J32,J39),1)</f>
        <v>8.5</v>
      </c>
      <c r="K44" s="379"/>
      <c r="L44" s="379">
        <f>ROUND(SUM(L32,L39),1)</f>
        <v>-11.2</v>
      </c>
      <c r="M44" s="379"/>
      <c r="N44" s="379">
        <f>ROUND(SUM(N32,N39),1)</f>
        <v>-14.6</v>
      </c>
      <c r="O44" s="379"/>
      <c r="P44" s="379">
        <f>ROUND(SUM(P32,P39),1)</f>
        <v>-6.9</v>
      </c>
      <c r="Q44" s="379"/>
      <c r="R44" s="379">
        <f>ROUND(SUM(R32,R39),1)</f>
        <v>-9.6999999999999993</v>
      </c>
      <c r="S44" s="379"/>
      <c r="T44" s="379">
        <f>ROUND(SUM(T32,T39),1)</f>
        <v>-19.899999999999999</v>
      </c>
      <c r="U44" s="379"/>
      <c r="V44" s="379">
        <f>ROUND(SUM(V32,V39),1)</f>
        <v>0</v>
      </c>
      <c r="W44" s="379"/>
      <c r="X44" s="2180">
        <f>ROUND(SUM(X32,X39),1)</f>
        <v>0</v>
      </c>
      <c r="Y44" s="2180"/>
      <c r="Z44" s="2181"/>
      <c r="AA44" s="2183">
        <f>ROUND(AA32+AA39,1)</f>
        <v>-35.1</v>
      </c>
      <c r="AB44" s="3205"/>
      <c r="AC44" s="3206"/>
      <c r="AD44" s="2183">
        <f>ROUND(AD32+AD39,1)</f>
        <v>-116</v>
      </c>
      <c r="AE44" s="2188"/>
      <c r="AF44" s="1657"/>
      <c r="AG44" s="3185">
        <f>ROUND(SUM(AG32+AG39),1)</f>
        <v>80.900000000000006</v>
      </c>
      <c r="AH44" s="1112"/>
      <c r="AI44" s="2098">
        <f>ROUND(IF(AG44=0,0,AG44/ABS(AD44)),3)</f>
        <v>0.69699999999999995</v>
      </c>
    </row>
    <row r="45" spans="1:35" ht="16.5" customHeight="1">
      <c r="A45" s="146"/>
      <c r="B45" s="382"/>
      <c r="C45" s="376"/>
      <c r="D45" s="382"/>
      <c r="E45" s="376"/>
      <c r="F45" s="382"/>
      <c r="G45" s="376"/>
      <c r="H45" s="382"/>
      <c r="I45" s="376"/>
      <c r="J45" s="382"/>
      <c r="K45" s="376"/>
      <c r="L45" s="382"/>
      <c r="M45" s="376"/>
      <c r="N45" s="382"/>
      <c r="O45" s="376"/>
      <c r="P45" s="382"/>
      <c r="Q45" s="376"/>
      <c r="R45" s="382"/>
      <c r="S45" s="376"/>
      <c r="T45" s="382"/>
      <c r="U45" s="376"/>
      <c r="V45" s="382"/>
      <c r="W45" s="376"/>
      <c r="X45" s="3208"/>
      <c r="Y45" s="3176"/>
      <c r="Z45" s="3200"/>
      <c r="AA45" s="3208"/>
      <c r="AB45" s="3201"/>
      <c r="AC45" s="3202"/>
      <c r="AD45" s="3208"/>
      <c r="AF45" s="1657"/>
      <c r="AI45" s="1121"/>
    </row>
    <row r="46" spans="1:35" ht="16.5" customHeight="1" thickBot="1">
      <c r="A46" s="317" t="s">
        <v>140</v>
      </c>
      <c r="B46" s="374">
        <f>ROUND(SUM(B14,B44),1)</f>
        <v>-349.4</v>
      </c>
      <c r="C46" s="374"/>
      <c r="D46" s="374">
        <f>ROUND(SUM(D14,D44),1)</f>
        <v>-398.2</v>
      </c>
      <c r="E46" s="374"/>
      <c r="F46" s="374">
        <f>ROUND(SUM(F14,F44),1)</f>
        <v>-339</v>
      </c>
      <c r="G46" s="374"/>
      <c r="H46" s="374">
        <f>ROUND(SUM(H14,H44),1)</f>
        <v>-344.8</v>
      </c>
      <c r="I46" s="374"/>
      <c r="J46" s="374">
        <f>ROUND(SUM(J14,J44),1)</f>
        <v>-336.3</v>
      </c>
      <c r="K46" s="374"/>
      <c r="L46" s="374">
        <f>ROUND(SUM(L14,L44),1)</f>
        <v>-347.5</v>
      </c>
      <c r="M46" s="374"/>
      <c r="N46" s="374">
        <f>ROUND(SUM(N14,N44),1)</f>
        <v>-362.1</v>
      </c>
      <c r="O46" s="374"/>
      <c r="P46" s="374">
        <f>ROUND(SUM(P14,P44),1)</f>
        <v>-369</v>
      </c>
      <c r="Q46" s="374"/>
      <c r="R46" s="383">
        <f>ROUND(SUM(R14,R44),1)</f>
        <v>-378.7</v>
      </c>
      <c r="S46" s="374"/>
      <c r="T46" s="374">
        <f>ROUND(SUM(T14,T44),1)</f>
        <v>-398.6</v>
      </c>
      <c r="U46" s="374"/>
      <c r="V46" s="374">
        <f>ROUND(SUM(V14,V44),1)</f>
        <v>0</v>
      </c>
      <c r="W46" s="374"/>
      <c r="X46" s="1634">
        <f>ROUND(SUM(X14,X44),1)</f>
        <v>0</v>
      </c>
      <c r="Y46" s="1634"/>
      <c r="Z46" s="3198"/>
      <c r="AA46" s="1634">
        <f>ROUND(SUM(AA14,AA44),1)</f>
        <v>-398.6</v>
      </c>
      <c r="AB46" s="3199"/>
      <c r="AC46" s="2185"/>
      <c r="AD46" s="1634">
        <f>ROUND(SUM(AD14,AD44),1)</f>
        <v>-413.5</v>
      </c>
      <c r="AF46" s="1657"/>
      <c r="AG46" s="3188">
        <f>ROUND(SUM(AA46-AD46),1)</f>
        <v>14.9</v>
      </c>
      <c r="AH46" s="1138"/>
      <c r="AI46" s="1140">
        <f>ROUND(IF(AG46=0,0,AG46/ABS(AD46)),3)</f>
        <v>3.5999999999999997E-2</v>
      </c>
    </row>
    <row r="47" spans="1:35" ht="16.5" customHeight="1" thickTop="1">
      <c r="A47" s="146"/>
      <c r="B47" s="384"/>
      <c r="C47" s="376"/>
      <c r="D47" s="384"/>
      <c r="E47" s="376"/>
      <c r="F47" s="384"/>
      <c r="G47" s="376"/>
      <c r="H47" s="384"/>
      <c r="I47" s="376"/>
      <c r="J47" s="384"/>
      <c r="K47" s="376"/>
      <c r="L47" s="384"/>
      <c r="M47" s="376"/>
      <c r="N47" s="384"/>
      <c r="O47" s="376"/>
      <c r="P47" s="384"/>
      <c r="Q47" s="376"/>
      <c r="R47" s="377"/>
      <c r="S47" s="376"/>
      <c r="T47" s="384"/>
      <c r="U47" s="376"/>
      <c r="V47" s="384"/>
      <c r="W47" s="376"/>
      <c r="X47" s="3209"/>
      <c r="Y47" s="3176"/>
      <c r="Z47" s="3176"/>
      <c r="AA47" s="3209"/>
      <c r="AB47" s="3176"/>
      <c r="AC47" s="3176"/>
      <c r="AD47" s="3209"/>
    </row>
    <row r="49" spans="1:1" ht="16.5" customHeight="1">
      <c r="A49" s="385"/>
    </row>
    <row r="50" spans="1:1" ht="16.5" customHeight="1">
      <c r="A50" s="244"/>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81640625" defaultRowHeight="17.399999999999999"/>
  <cols>
    <col min="1" max="1" width="45.54296875" style="386" customWidth="1"/>
    <col min="2" max="2" width="11.08984375" style="386" customWidth="1"/>
    <col min="3" max="3" width="1.81640625" style="386" customWidth="1"/>
    <col min="4" max="4" width="8.81640625" style="386" customWidth="1"/>
    <col min="5" max="5" width="1.81640625" style="386" customWidth="1"/>
    <col min="6" max="6" width="8.81640625" style="386" customWidth="1"/>
    <col min="7" max="7" width="1.81640625" style="386" customWidth="1"/>
    <col min="8" max="8" width="9.453125" style="386" customWidth="1"/>
    <col min="9" max="9" width="1.81640625" style="386" customWidth="1"/>
    <col min="10" max="10" width="10.81640625" style="386" customWidth="1"/>
    <col min="11" max="11" width="1.81640625" style="386" customWidth="1"/>
    <col min="12" max="12" width="14.08984375" style="386" customWidth="1"/>
    <col min="13" max="13" width="1.81640625" style="386" customWidth="1"/>
    <col min="14" max="14" width="12" style="386" bestFit="1" customWidth="1"/>
    <col min="15" max="15" width="1.81640625" style="386" customWidth="1"/>
    <col min="16" max="16" width="13.54296875" style="386" bestFit="1" customWidth="1"/>
    <col min="17" max="17" width="1.81640625" style="386" customWidth="1"/>
    <col min="18" max="18" width="13.54296875" style="386" bestFit="1" customWidth="1"/>
    <col min="19" max="19" width="1.81640625" style="386" customWidth="1"/>
    <col min="20" max="20" width="11" style="386" bestFit="1" customWidth="1"/>
    <col min="21" max="21" width="1.81640625" style="386" customWidth="1"/>
    <col min="22" max="22" width="12.81640625" style="386" bestFit="1" customWidth="1"/>
    <col min="23" max="23" width="1.81640625" style="386" customWidth="1"/>
    <col min="24" max="24" width="11" style="386" customWidth="1"/>
    <col min="25" max="26" width="1.81640625" style="386" customWidth="1"/>
    <col min="27" max="27" width="10.08984375" style="2188" customWidth="1"/>
    <col min="28" max="29" width="1.81640625" style="2188" customWidth="1"/>
    <col min="30" max="30" width="10.08984375" style="3223" customWidth="1"/>
    <col min="31" max="31" width="1.81640625" style="1120" customWidth="1"/>
    <col min="32" max="32" width="2.453125" style="1120" customWidth="1"/>
    <col min="33" max="33" width="10.08984375" style="1121" bestFit="1" customWidth="1"/>
    <col min="34" max="34" width="1.81640625" style="1121" customWidth="1"/>
    <col min="35" max="35" width="11.08984375" style="1120" customWidth="1"/>
    <col min="36" max="16384" width="8.81640625" style="386"/>
  </cols>
  <sheetData>
    <row r="1" spans="1:35">
      <c r="A1" s="635" t="s">
        <v>881</v>
      </c>
    </row>
    <row r="2" spans="1:35">
      <c r="A2" s="812"/>
    </row>
    <row r="3" spans="1:35" ht="20.25" customHeight="1">
      <c r="A3" s="3484" t="s">
        <v>0</v>
      </c>
      <c r="B3" s="28"/>
      <c r="C3" s="28"/>
      <c r="D3" s="28"/>
      <c r="E3" s="28"/>
      <c r="F3" s="28"/>
      <c r="G3" s="28"/>
      <c r="H3" s="28"/>
      <c r="I3" s="28"/>
      <c r="J3" s="28"/>
      <c r="K3" s="26"/>
      <c r="L3" s="26"/>
      <c r="M3" s="28"/>
      <c r="N3" s="28"/>
      <c r="O3" s="28"/>
      <c r="P3" s="28"/>
      <c r="Q3" s="28"/>
      <c r="R3" s="28"/>
      <c r="S3" s="28"/>
      <c r="T3" s="28"/>
      <c r="U3" s="28"/>
      <c r="V3" s="28"/>
      <c r="W3" s="28"/>
      <c r="X3" s="28"/>
      <c r="Y3" s="28"/>
      <c r="Z3" s="28"/>
      <c r="AA3" s="104"/>
      <c r="AB3" s="104"/>
      <c r="AC3" s="104"/>
      <c r="AD3" s="190"/>
      <c r="AI3" s="1159" t="s">
        <v>223</v>
      </c>
    </row>
    <row r="4" spans="1:35" ht="20.25" customHeight="1">
      <c r="A4" s="287" t="s">
        <v>222</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4"/>
      <c r="AB4" s="104"/>
      <c r="AC4" s="104"/>
      <c r="AD4" s="190"/>
    </row>
    <row r="5" spans="1:35" ht="20.25" customHeight="1">
      <c r="A5" s="1515" t="s">
        <v>122</v>
      </c>
      <c r="B5" s="28"/>
      <c r="C5" s="28"/>
      <c r="D5" s="28"/>
      <c r="E5" s="28"/>
      <c r="F5" s="28"/>
      <c r="G5" s="28"/>
      <c r="H5" s="28"/>
      <c r="I5" s="28"/>
      <c r="J5" s="28"/>
      <c r="K5" s="26"/>
      <c r="L5" s="26"/>
      <c r="M5" s="28"/>
      <c r="N5" s="28"/>
      <c r="O5" s="28"/>
      <c r="P5" s="28"/>
      <c r="Q5" s="28"/>
      <c r="R5" s="28"/>
      <c r="S5" s="28"/>
      <c r="T5" s="28"/>
      <c r="U5" s="28"/>
      <c r="V5" s="28"/>
      <c r="W5" s="28"/>
      <c r="X5" s="28"/>
      <c r="Y5" s="28"/>
      <c r="Z5" s="28"/>
      <c r="AB5" s="3213"/>
      <c r="AC5" s="3213"/>
      <c r="AE5" s="1142"/>
    </row>
    <row r="6" spans="1:35" ht="20.25" customHeight="1">
      <c r="A6" s="1515"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28"/>
      <c r="Y6" s="28"/>
      <c r="Z6" s="28"/>
      <c r="AA6" s="104"/>
      <c r="AB6" s="104"/>
      <c r="AC6" s="104"/>
      <c r="AD6" s="190"/>
    </row>
    <row r="7" spans="1:35" ht="20.25" customHeight="1">
      <c r="A7" s="3484" t="s">
        <v>1263</v>
      </c>
      <c r="B7" s="28"/>
      <c r="C7" s="28"/>
      <c r="D7" s="28"/>
      <c r="E7" s="28"/>
      <c r="F7" s="28"/>
      <c r="G7" s="28"/>
      <c r="H7" s="28"/>
      <c r="I7" s="28"/>
      <c r="J7" s="28"/>
      <c r="K7" s="26"/>
      <c r="L7" s="28"/>
      <c r="M7" s="28"/>
      <c r="N7" s="28"/>
      <c r="O7" s="28"/>
      <c r="P7" s="28"/>
      <c r="Q7" s="28"/>
      <c r="R7" s="28"/>
      <c r="S7" s="28"/>
      <c r="T7" s="28"/>
      <c r="U7" s="28"/>
      <c r="V7" s="28"/>
      <c r="W7" s="28"/>
      <c r="X7" s="28"/>
      <c r="Y7" s="28"/>
      <c r="Z7" s="28"/>
      <c r="AA7" s="104"/>
      <c r="AB7" s="104"/>
      <c r="AC7" s="104"/>
      <c r="AD7" s="190"/>
    </row>
    <row r="8" spans="1:35" s="388" customFormat="1" ht="19.350000000000001" customHeight="1">
      <c r="A8" s="317"/>
      <c r="B8" s="28"/>
      <c r="C8" s="28"/>
      <c r="D8" s="28"/>
      <c r="E8" s="28"/>
      <c r="F8" s="28"/>
      <c r="G8" s="28"/>
      <c r="H8" s="28"/>
      <c r="I8" s="28"/>
      <c r="J8" s="28"/>
      <c r="K8" s="28"/>
      <c r="L8" s="28"/>
      <c r="M8" s="28"/>
      <c r="N8" s="28"/>
      <c r="O8" s="28"/>
      <c r="P8" s="28"/>
      <c r="Q8" s="28"/>
      <c r="R8" s="28"/>
      <c r="S8" s="28"/>
      <c r="T8" s="28"/>
      <c r="U8" s="28"/>
      <c r="V8" s="28"/>
      <c r="W8" s="28"/>
      <c r="X8" s="28"/>
      <c r="Y8" s="28"/>
      <c r="Z8" s="146"/>
      <c r="AA8" s="190"/>
      <c r="AB8" s="190"/>
      <c r="AC8" s="190"/>
      <c r="AD8" s="190"/>
      <c r="AE8" s="1120"/>
      <c r="AF8" s="1120"/>
      <c r="AG8" s="1121"/>
      <c r="AH8" s="1121"/>
      <c r="AI8" s="1120"/>
    </row>
    <row r="9" spans="1:35" s="388" customFormat="1" ht="19.350000000000001" customHeight="1">
      <c r="A9" s="679"/>
      <c r="B9" s="679"/>
      <c r="C9" s="679"/>
      <c r="D9" s="679"/>
      <c r="E9" s="679"/>
      <c r="F9" s="679"/>
      <c r="G9" s="679"/>
      <c r="H9" s="26"/>
      <c r="I9" s="26"/>
      <c r="J9" s="26"/>
      <c r="K9" s="679"/>
      <c r="L9" s="679"/>
      <c r="M9" s="679"/>
      <c r="N9" s="679"/>
      <c r="O9" s="679"/>
      <c r="P9" s="679"/>
      <c r="Q9" s="679"/>
      <c r="R9" s="679"/>
      <c r="S9" s="679"/>
      <c r="T9" s="679"/>
      <c r="U9" s="679"/>
      <c r="V9" s="679"/>
      <c r="W9" s="679"/>
      <c r="X9" s="679"/>
      <c r="Y9" s="679"/>
      <c r="Z9" s="146"/>
      <c r="AA9" s="190"/>
      <c r="AB9" s="190"/>
      <c r="AC9" s="3989"/>
      <c r="AD9" s="3990"/>
      <c r="AE9" s="3990"/>
      <c r="AF9" s="3990"/>
      <c r="AG9" s="3990"/>
      <c r="AH9" s="3990"/>
      <c r="AI9" s="3990"/>
    </row>
    <row r="10" spans="1:35" s="388" customFormat="1" ht="19.350000000000001" customHeight="1">
      <c r="A10" s="146"/>
      <c r="B10" s="146"/>
      <c r="C10" s="146"/>
      <c r="D10" s="146"/>
      <c r="E10" s="146"/>
      <c r="F10" s="146"/>
      <c r="G10" s="146"/>
      <c r="H10" s="146"/>
      <c r="I10" s="146"/>
      <c r="J10" s="146"/>
      <c r="K10" s="146"/>
      <c r="L10" s="146"/>
      <c r="M10" s="146"/>
      <c r="N10" s="146"/>
      <c r="O10" s="146"/>
      <c r="P10" s="146"/>
      <c r="Q10" s="146"/>
      <c r="R10" s="146"/>
      <c r="S10" s="146"/>
      <c r="T10" s="146"/>
      <c r="U10" s="146"/>
      <c r="V10" s="2094"/>
      <c r="W10" s="819"/>
      <c r="X10" s="820"/>
      <c r="Y10" s="821"/>
      <c r="Z10" s="3991" t="s">
        <v>1572</v>
      </c>
      <c r="AA10" s="3991"/>
      <c r="AB10" s="3991"/>
      <c r="AC10" s="3991"/>
      <c r="AD10" s="3991"/>
      <c r="AE10" s="3991"/>
      <c r="AF10" s="3991"/>
      <c r="AG10" s="3991"/>
      <c r="AH10" s="3991"/>
      <c r="AI10" s="3991"/>
    </row>
    <row r="11" spans="1:35" s="388" customFormat="1" ht="19.350000000000001"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246"/>
      <c r="Y11" s="246"/>
      <c r="Z11" s="759"/>
      <c r="AA11" s="3193"/>
      <c r="AB11" s="3193"/>
      <c r="AC11" s="3193"/>
      <c r="AD11" s="3171"/>
      <c r="AE11" s="1143"/>
      <c r="AF11" s="1112"/>
      <c r="AG11" s="1124" t="s">
        <v>7</v>
      </c>
      <c r="AH11" s="1124"/>
      <c r="AI11" s="1125" t="s">
        <v>8</v>
      </c>
    </row>
    <row r="12" spans="1:35" s="388" customFormat="1" ht="19.350000000000001" customHeight="1">
      <c r="A12" s="146"/>
      <c r="B12" s="822" t="s">
        <v>123</v>
      </c>
      <c r="C12" s="246"/>
      <c r="D12" s="822" t="s">
        <v>124</v>
      </c>
      <c r="E12" s="246"/>
      <c r="F12" s="822" t="s">
        <v>125</v>
      </c>
      <c r="G12" s="246"/>
      <c r="H12" s="822" t="s">
        <v>126</v>
      </c>
      <c r="I12" s="246"/>
      <c r="J12" s="823" t="s">
        <v>224</v>
      </c>
      <c r="K12" s="246"/>
      <c r="L12" s="823" t="s">
        <v>142</v>
      </c>
      <c r="M12" s="246"/>
      <c r="N12" s="823" t="s">
        <v>143</v>
      </c>
      <c r="O12" s="246"/>
      <c r="P12" s="822" t="s">
        <v>130</v>
      </c>
      <c r="Q12" s="246"/>
      <c r="R12" s="822" t="s">
        <v>131</v>
      </c>
      <c r="S12" s="246"/>
      <c r="T12" s="823" t="s">
        <v>132</v>
      </c>
      <c r="U12" s="246"/>
      <c r="V12" s="822" t="s">
        <v>133</v>
      </c>
      <c r="W12" s="246"/>
      <c r="X12" s="823" t="s">
        <v>184</v>
      </c>
      <c r="Y12" s="246"/>
      <c r="Z12" s="246"/>
      <c r="AA12" s="3195">
        <f>'Cashflow Governmental'!AB14</f>
        <v>2022</v>
      </c>
      <c r="AB12" s="3195"/>
      <c r="AC12" s="3210"/>
      <c r="AD12" s="3394">
        <f>'Cashflow Governmental'!AE14</f>
        <v>2021</v>
      </c>
      <c r="AE12" s="1139"/>
      <c r="AF12" s="1139"/>
      <c r="AG12" s="1126" t="s">
        <v>11</v>
      </c>
      <c r="AH12" s="1127"/>
      <c r="AI12" s="1126" t="s">
        <v>12</v>
      </c>
    </row>
    <row r="13" spans="1:35" s="1643" customFormat="1" ht="19.350000000000001" customHeight="1">
      <c r="A13" s="1632" t="s">
        <v>135</v>
      </c>
      <c r="B13" s="1663">
        <v>0</v>
      </c>
      <c r="C13" s="1634"/>
      <c r="D13" s="1663">
        <f>B38</f>
        <v>-2.4</v>
      </c>
      <c r="E13" s="1634"/>
      <c r="F13" s="1663">
        <f>D38</f>
        <v>0</v>
      </c>
      <c r="G13" s="1664"/>
      <c r="H13" s="1663">
        <f>F38</f>
        <v>-2.2000000000000002</v>
      </c>
      <c r="I13" s="1664"/>
      <c r="J13" s="1663">
        <f>H38</f>
        <v>-4.8</v>
      </c>
      <c r="K13" s="1664"/>
      <c r="L13" s="1663">
        <f>J38</f>
        <v>-1.7</v>
      </c>
      <c r="M13" s="1664"/>
      <c r="N13" s="1663">
        <f>L38</f>
        <v>0</v>
      </c>
      <c r="O13" s="1664"/>
      <c r="P13" s="1663">
        <f>N38</f>
        <v>0.3</v>
      </c>
      <c r="Q13" s="1664"/>
      <c r="R13" s="1663">
        <f>P38</f>
        <v>-6.6</v>
      </c>
      <c r="S13" s="1664"/>
      <c r="T13" s="1663">
        <f>R38</f>
        <v>1.2</v>
      </c>
      <c r="U13" s="1664"/>
      <c r="V13" s="1663"/>
      <c r="W13" s="1664"/>
      <c r="X13" s="1663"/>
      <c r="Y13" s="1636"/>
      <c r="Z13" s="1637"/>
      <c r="AA13" s="1663">
        <f>B13</f>
        <v>0</v>
      </c>
      <c r="AB13" s="1636"/>
      <c r="AC13" s="3214"/>
      <c r="AD13" s="1663">
        <v>-1.1000000000000001</v>
      </c>
      <c r="AE13" s="1638"/>
      <c r="AF13" s="1639"/>
      <c r="AG13" s="1640">
        <f>ROUND(SUM(AA13-AD13),1)</f>
        <v>1.1000000000000001</v>
      </c>
      <c r="AH13" s="1641"/>
      <c r="AI13" s="2102">
        <f>-ROUND(IF(AG13=0,0,AG13/(AD13)),3)</f>
        <v>1</v>
      </c>
    </row>
    <row r="14" spans="1:35" s="388" customFormat="1" ht="19.350000000000001" customHeight="1">
      <c r="A14" s="146"/>
      <c r="B14" s="376"/>
      <c r="C14" s="376"/>
      <c r="D14" s="376"/>
      <c r="E14" s="376"/>
      <c r="F14" s="3645"/>
      <c r="G14" s="826"/>
      <c r="H14" s="827"/>
      <c r="I14" s="827"/>
      <c r="J14" s="827"/>
      <c r="K14" s="826"/>
      <c r="L14" s="827"/>
      <c r="M14" s="827"/>
      <c r="N14" s="827"/>
      <c r="O14" s="827"/>
      <c r="P14" s="827"/>
      <c r="Q14" s="827"/>
      <c r="R14" s="827"/>
      <c r="S14" s="827"/>
      <c r="T14" s="827"/>
      <c r="U14" s="827"/>
      <c r="V14" s="827"/>
      <c r="W14" s="827"/>
      <c r="X14" s="827"/>
      <c r="Y14" s="828"/>
      <c r="Z14" s="829"/>
      <c r="AA14" s="3176"/>
      <c r="AB14" s="3215"/>
      <c r="AC14" s="3216"/>
      <c r="AD14" s="3176"/>
      <c r="AE14" s="1144"/>
      <c r="AF14" s="1141"/>
      <c r="AG14" s="1129"/>
      <c r="AH14" s="1121"/>
      <c r="AI14" s="1120"/>
    </row>
    <row r="15" spans="1:35" s="388" customFormat="1" ht="19.350000000000001" customHeight="1">
      <c r="A15" s="246" t="s">
        <v>13</v>
      </c>
      <c r="B15" s="376"/>
      <c r="C15" s="376"/>
      <c r="D15" s="376"/>
      <c r="E15" s="376"/>
      <c r="F15" s="3645"/>
      <c r="G15" s="826"/>
      <c r="H15" s="827"/>
      <c r="I15" s="827"/>
      <c r="J15" s="827"/>
      <c r="K15" s="826"/>
      <c r="L15" s="827"/>
      <c r="M15" s="827"/>
      <c r="N15" s="827"/>
      <c r="O15" s="827"/>
      <c r="P15" s="827"/>
      <c r="Q15" s="827"/>
      <c r="R15" s="827"/>
      <c r="S15" s="827"/>
      <c r="T15" s="827"/>
      <c r="U15" s="827"/>
      <c r="V15" s="827"/>
      <c r="W15" s="827"/>
      <c r="X15" s="827"/>
      <c r="Y15" s="828"/>
      <c r="Z15" s="829"/>
      <c r="AA15" s="3176"/>
      <c r="AB15" s="3215"/>
      <c r="AC15" s="3216"/>
      <c r="AD15" s="3176"/>
      <c r="AE15" s="1144"/>
      <c r="AF15" s="1141"/>
      <c r="AG15" s="1129"/>
      <c r="AH15" s="1121"/>
      <c r="AI15" s="1120"/>
    </row>
    <row r="16" spans="1:35" s="388" customFormat="1" ht="19.350000000000001" customHeight="1">
      <c r="A16" s="831" t="s">
        <v>177</v>
      </c>
      <c r="B16" s="2140">
        <v>5.9</v>
      </c>
      <c r="C16" s="234"/>
      <c r="D16" s="2140">
        <v>13.1</v>
      </c>
      <c r="E16" s="234"/>
      <c r="F16" s="2140">
        <v>11.9</v>
      </c>
      <c r="G16" s="234"/>
      <c r="H16" s="2140">
        <v>8.6</v>
      </c>
      <c r="I16" s="1646"/>
      <c r="J16" s="2140">
        <v>13.000000000000002</v>
      </c>
      <c r="K16" s="1559"/>
      <c r="L16" s="2140">
        <v>14.400000000000004</v>
      </c>
      <c r="M16" s="1647"/>
      <c r="N16" s="2140">
        <v>10.199999999999983</v>
      </c>
      <c r="O16" s="1647"/>
      <c r="P16" s="1645">
        <v>8.400000000000011</v>
      </c>
      <c r="Q16" s="1647"/>
      <c r="R16" s="1645">
        <v>22.100000000000009</v>
      </c>
      <c r="S16" s="1647"/>
      <c r="T16" s="1645">
        <f>$AA16-$B16-$D16-$F16-$H16-$J16-$L16-$N16-R16-P16</f>
        <v>10.69999999999999</v>
      </c>
      <c r="U16" s="1647"/>
      <c r="V16" s="1645"/>
      <c r="W16" s="1647"/>
      <c r="X16" s="1645"/>
      <c r="Y16" s="1648"/>
      <c r="Z16" s="1649"/>
      <c r="AA16" s="1645">
        <v>118.3</v>
      </c>
      <c r="AB16" s="1648"/>
      <c r="AC16" s="1647"/>
      <c r="AD16" s="1645">
        <v>100.6</v>
      </c>
      <c r="AE16" s="1145"/>
      <c r="AF16" s="1113"/>
      <c r="AG16" s="1131">
        <f>ROUND(SUM(AA16-AD16),1)</f>
        <v>17.7</v>
      </c>
      <c r="AH16" s="1121"/>
      <c r="AI16" s="1136">
        <f>ROUND(IF(AG16=0,0,AG16/ABS(AD16)),3)</f>
        <v>0.17599999999999999</v>
      </c>
    </row>
    <row r="17" spans="1:35" s="388" customFormat="1" ht="24" customHeight="1">
      <c r="A17" s="246" t="s">
        <v>149</v>
      </c>
      <c r="B17" s="2129">
        <f>ROUND(SUM(B16),1)</f>
        <v>5.9</v>
      </c>
      <c r="C17" s="379"/>
      <c r="D17" s="836">
        <f>ROUND(SUM(D16),1)</f>
        <v>13.1</v>
      </c>
      <c r="E17" s="379"/>
      <c r="F17" s="3646">
        <f>ROUND(SUM(F16),1)</f>
        <v>11.9</v>
      </c>
      <c r="G17" s="379"/>
      <c r="H17" s="836">
        <f>ROUND(SUM(H16),1)</f>
        <v>8.6</v>
      </c>
      <c r="I17" s="837"/>
      <c r="J17" s="836">
        <f>ROUND(SUM(J16),1)</f>
        <v>13</v>
      </c>
      <c r="K17" s="379"/>
      <c r="L17" s="836">
        <f>ROUND(SUM(L16),1)</f>
        <v>14.4</v>
      </c>
      <c r="M17" s="838"/>
      <c r="N17" s="836">
        <f>ROUND(SUM(N16),1)</f>
        <v>10.199999999999999</v>
      </c>
      <c r="O17" s="838"/>
      <c r="P17" s="836">
        <f>ROUND(SUM(P16),1)</f>
        <v>8.4</v>
      </c>
      <c r="Q17" s="838"/>
      <c r="R17" s="2129">
        <f>ROUND(SUM(R16),1)</f>
        <v>22.1</v>
      </c>
      <c r="S17" s="838"/>
      <c r="T17" s="836">
        <f>ROUND(SUM(T16),1)</f>
        <v>10.7</v>
      </c>
      <c r="U17" s="838"/>
      <c r="V17" s="836">
        <f>ROUND(SUM(V16),1)</f>
        <v>0</v>
      </c>
      <c r="W17" s="838"/>
      <c r="X17" s="836">
        <f>ROUND(SUM(X16),1)</f>
        <v>0</v>
      </c>
      <c r="Y17" s="839"/>
      <c r="Z17" s="840"/>
      <c r="AA17" s="1679">
        <f>ROUND(SUM(AA16),1)</f>
        <v>118.3</v>
      </c>
      <c r="AB17" s="3217"/>
      <c r="AC17" s="3218"/>
      <c r="AD17" s="1679">
        <f>ROUND(SUM(AD16),1)</f>
        <v>100.6</v>
      </c>
      <c r="AE17" s="1146"/>
      <c r="AF17" s="1113"/>
      <c r="AG17" s="1153">
        <f>ROUND(SUM(AG16),1)</f>
        <v>17.7</v>
      </c>
      <c r="AH17" s="1154"/>
      <c r="AI17" s="1155">
        <f>ROUND(IF(AG17=0,0,AG17/ABS(AD17)),3)</f>
        <v>0.17599999999999999</v>
      </c>
    </row>
    <row r="18" spans="1:35" s="388" customFormat="1" ht="19.350000000000001" customHeight="1">
      <c r="A18" s="146"/>
      <c r="B18" s="378"/>
      <c r="C18" s="234"/>
      <c r="D18" s="378" t="s">
        <v>14</v>
      </c>
      <c r="E18" s="234"/>
      <c r="F18" s="2178"/>
      <c r="G18" s="234"/>
      <c r="H18" s="841"/>
      <c r="I18" s="833"/>
      <c r="J18" s="841"/>
      <c r="K18" s="234"/>
      <c r="L18" s="841"/>
      <c r="M18" s="833"/>
      <c r="N18" s="841"/>
      <c r="O18" s="833"/>
      <c r="P18" s="841"/>
      <c r="Q18" s="833"/>
      <c r="R18" s="841"/>
      <c r="S18" s="833"/>
      <c r="T18" s="841"/>
      <c r="U18" s="833"/>
      <c r="V18" s="841"/>
      <c r="W18" s="833"/>
      <c r="X18" s="841"/>
      <c r="Y18" s="834"/>
      <c r="Z18" s="835"/>
      <c r="AA18" s="2178"/>
      <c r="AB18" s="1648"/>
      <c r="AC18" s="1646"/>
      <c r="AD18" s="2178"/>
      <c r="AE18" s="1131"/>
      <c r="AF18" s="1113"/>
      <c r="AG18" s="1131"/>
      <c r="AH18" s="1121"/>
      <c r="AI18" s="1120"/>
    </row>
    <row r="19" spans="1:35" s="388" customFormat="1" ht="19.350000000000001" customHeight="1">
      <c r="A19" s="146"/>
      <c r="B19" s="234"/>
      <c r="C19" s="234"/>
      <c r="D19" s="234" t="s">
        <v>14</v>
      </c>
      <c r="E19" s="234"/>
      <c r="F19" s="1559"/>
      <c r="G19" s="234"/>
      <c r="H19" s="833"/>
      <c r="I19" s="833"/>
      <c r="J19" s="833"/>
      <c r="K19" s="234"/>
      <c r="L19" s="833"/>
      <c r="M19" s="833"/>
      <c r="N19" s="833"/>
      <c r="O19" s="833"/>
      <c r="P19" s="833"/>
      <c r="Q19" s="833"/>
      <c r="R19" s="833"/>
      <c r="S19" s="833"/>
      <c r="T19" s="833"/>
      <c r="U19" s="833"/>
      <c r="V19" s="833"/>
      <c r="W19" s="833"/>
      <c r="X19" s="833"/>
      <c r="Y19" s="834"/>
      <c r="Z19" s="835"/>
      <c r="AA19" s="1559"/>
      <c r="AB19" s="1648"/>
      <c r="AC19" s="1647"/>
      <c r="AD19" s="1559"/>
      <c r="AE19" s="1147"/>
      <c r="AF19" s="1113"/>
      <c r="AG19" s="1131"/>
      <c r="AH19" s="1121"/>
      <c r="AI19" s="1120"/>
    </row>
    <row r="20" spans="1:35" s="388" customFormat="1" ht="19.350000000000001" customHeight="1">
      <c r="A20" s="246" t="s">
        <v>22</v>
      </c>
      <c r="B20" s="234"/>
      <c r="C20" s="234"/>
      <c r="D20" s="234" t="s">
        <v>14</v>
      </c>
      <c r="E20" s="234"/>
      <c r="F20" s="1559"/>
      <c r="G20" s="234"/>
      <c r="H20" s="833"/>
      <c r="I20" s="833"/>
      <c r="J20" s="833"/>
      <c r="K20" s="234"/>
      <c r="L20" s="833"/>
      <c r="M20" s="833"/>
      <c r="N20" s="833"/>
      <c r="O20" s="833"/>
      <c r="P20" s="833"/>
      <c r="Q20" s="833"/>
      <c r="R20" s="833"/>
      <c r="S20" s="833"/>
      <c r="T20" s="833"/>
      <c r="U20" s="833"/>
      <c r="V20" s="833"/>
      <c r="W20" s="833"/>
      <c r="X20" s="833"/>
      <c r="Y20" s="834"/>
      <c r="Z20" s="835"/>
      <c r="AA20" s="1559"/>
      <c r="AB20" s="1648"/>
      <c r="AC20" s="1647"/>
      <c r="AD20" s="1559"/>
      <c r="AE20" s="1147"/>
      <c r="AF20" s="1113"/>
      <c r="AG20" s="1131"/>
      <c r="AH20" s="1121"/>
      <c r="AI20" s="1120"/>
    </row>
    <row r="21" spans="1:35" s="388" customFormat="1" ht="19.350000000000001" customHeight="1">
      <c r="A21" s="146" t="s">
        <v>151</v>
      </c>
      <c r="B21" s="235"/>
      <c r="C21" s="234"/>
      <c r="D21" s="234"/>
      <c r="E21" s="234"/>
      <c r="F21" s="1559"/>
      <c r="G21" s="234"/>
      <c r="H21" s="833"/>
      <c r="I21" s="833"/>
      <c r="J21" s="833"/>
      <c r="K21" s="234"/>
      <c r="L21" s="833"/>
      <c r="M21" s="833"/>
      <c r="N21" s="833"/>
      <c r="O21" s="833"/>
      <c r="P21" s="833"/>
      <c r="Q21" s="833"/>
      <c r="R21" s="833"/>
      <c r="S21" s="833"/>
      <c r="T21" s="833"/>
      <c r="U21" s="833"/>
      <c r="V21" s="833"/>
      <c r="W21" s="833"/>
      <c r="X21" s="833"/>
      <c r="Y21" s="834"/>
      <c r="Z21" s="835"/>
      <c r="AA21" s="1654"/>
      <c r="AB21" s="3669"/>
      <c r="AC21" s="3670"/>
      <c r="AD21" s="1654"/>
      <c r="AE21" s="1148"/>
      <c r="AF21" s="1114"/>
      <c r="AG21" s="1131"/>
      <c r="AH21" s="1121"/>
      <c r="AI21" s="1120"/>
    </row>
    <row r="22" spans="1:35" s="1643" customFormat="1" ht="19.350000000000001" customHeight="1">
      <c r="A22" s="190" t="s">
        <v>217</v>
      </c>
      <c r="B22" s="842">
        <v>5.9</v>
      </c>
      <c r="C22" s="234"/>
      <c r="D22" s="842">
        <v>5.6</v>
      </c>
      <c r="E22" s="234"/>
      <c r="F22" s="1667">
        <v>5.8</v>
      </c>
      <c r="G22" s="234"/>
      <c r="H22" s="1667">
        <v>5.9999999999999991</v>
      </c>
      <c r="I22" s="1647"/>
      <c r="J22" s="842">
        <v>5.5999999999999988</v>
      </c>
      <c r="K22" s="1559"/>
      <c r="L22" s="842">
        <v>8.3000000000000043</v>
      </c>
      <c r="M22" s="1647"/>
      <c r="N22" s="1667">
        <v>5.5999999999999943</v>
      </c>
      <c r="O22" s="1647"/>
      <c r="P22" s="1667">
        <v>9.100000000000005</v>
      </c>
      <c r="Q22" s="1647"/>
      <c r="R22" s="1667">
        <v>5.8000000000000043</v>
      </c>
      <c r="S22" s="1647"/>
      <c r="T22" s="1667">
        <f t="shared" ref="T22:T24" si="0">$AA22-$B22-$D22-$F22-$H22-$J22-$L22-$N22-R22-P22</f>
        <v>7.5999999999999908</v>
      </c>
      <c r="U22" s="1647"/>
      <c r="V22" s="1667"/>
      <c r="W22" s="1647"/>
      <c r="X22" s="1667"/>
      <c r="Y22" s="1648"/>
      <c r="Z22" s="1649"/>
      <c r="AA22" s="1667">
        <v>65.3</v>
      </c>
      <c r="AB22" s="1648"/>
      <c r="AC22" s="1647"/>
      <c r="AD22" s="1667">
        <v>60.9</v>
      </c>
      <c r="AE22" s="1656"/>
      <c r="AF22" s="1657"/>
      <c r="AG22" s="1668">
        <f>ROUND(SUM(AA22-AD22),1)</f>
        <v>4.4000000000000004</v>
      </c>
      <c r="AH22" s="1641"/>
      <c r="AI22" s="1653">
        <f>ROUND(IF(AG22=0,0,AG22/ABS(AD22)),3)</f>
        <v>7.1999999999999995E-2</v>
      </c>
    </row>
    <row r="23" spans="1:35" s="388" customFormat="1" ht="19.350000000000001" customHeight="1">
      <c r="A23" s="831" t="s">
        <v>169</v>
      </c>
      <c r="B23" s="842">
        <v>0.6</v>
      </c>
      <c r="C23" s="234"/>
      <c r="D23" s="842">
        <v>1.2000000000000002</v>
      </c>
      <c r="E23" s="234"/>
      <c r="F23" s="1667">
        <v>1.5</v>
      </c>
      <c r="G23" s="234"/>
      <c r="H23" s="1667">
        <v>1.4000000000000004</v>
      </c>
      <c r="I23" s="1647"/>
      <c r="J23" s="842">
        <v>0.79999999999999982</v>
      </c>
      <c r="K23" s="1559"/>
      <c r="L23" s="842">
        <v>0.90000000000000036</v>
      </c>
      <c r="M23" s="1647"/>
      <c r="N23" s="1667">
        <v>0.89999999999999947</v>
      </c>
      <c r="O23" s="1647"/>
      <c r="P23" s="1667">
        <v>0.89999999999999947</v>
      </c>
      <c r="Q23" s="1647"/>
      <c r="R23" s="1667">
        <v>2.8</v>
      </c>
      <c r="S23" s="1647"/>
      <c r="T23" s="1667">
        <f t="shared" si="0"/>
        <v>1.9000000000000021</v>
      </c>
      <c r="U23" s="1647"/>
      <c r="V23" s="1667"/>
      <c r="W23" s="1647"/>
      <c r="X23" s="1667"/>
      <c r="Y23" s="1648"/>
      <c r="Z23" s="1649"/>
      <c r="AA23" s="1667">
        <v>12.9</v>
      </c>
      <c r="AB23" s="1648"/>
      <c r="AC23" s="1647"/>
      <c r="AD23" s="1667">
        <v>10.9</v>
      </c>
      <c r="AE23" s="1148"/>
      <c r="AF23" s="1114"/>
      <c r="AG23" s="1131">
        <f>ROUND(SUM(AA23-AD23),1)</f>
        <v>2</v>
      </c>
      <c r="AH23" s="1135"/>
      <c r="AI23" s="1136">
        <f>ROUND(IF(AG23=0,0,AG23/ABS(AD23)),3)</f>
        <v>0.183</v>
      </c>
    </row>
    <row r="24" spans="1:35" s="1643" customFormat="1" ht="19.350000000000001" customHeight="1">
      <c r="A24" s="190" t="s">
        <v>154</v>
      </c>
      <c r="B24" s="2140">
        <v>1.8</v>
      </c>
      <c r="C24" s="234"/>
      <c r="D24" s="2140">
        <v>3.9000000000000004</v>
      </c>
      <c r="E24" s="234"/>
      <c r="F24" s="1667">
        <v>6.8</v>
      </c>
      <c r="G24" s="234"/>
      <c r="H24" s="2140">
        <v>3.8</v>
      </c>
      <c r="I24" s="1647"/>
      <c r="J24" s="2140">
        <v>3.5</v>
      </c>
      <c r="K24" s="1559"/>
      <c r="L24" s="2140">
        <v>3.5000000000000009</v>
      </c>
      <c r="M24" s="1647"/>
      <c r="N24" s="1667">
        <v>3.3999999999999977</v>
      </c>
      <c r="O24" s="1647"/>
      <c r="P24" s="1667">
        <v>5.299999999999998</v>
      </c>
      <c r="Q24" s="1647"/>
      <c r="R24" s="1645">
        <v>5.7000000000000091</v>
      </c>
      <c r="S24" s="1647"/>
      <c r="T24" s="1645">
        <f t="shared" si="0"/>
        <v>4.7999999999999963</v>
      </c>
      <c r="U24" s="1647"/>
      <c r="V24" s="1667"/>
      <c r="W24" s="1647"/>
      <c r="X24" s="1667"/>
      <c r="Y24" s="1648"/>
      <c r="Z24" s="1649"/>
      <c r="AA24" s="3671">
        <v>42.5</v>
      </c>
      <c r="AB24" s="1648"/>
      <c r="AC24" s="1647"/>
      <c r="AD24" s="3671">
        <v>34.5</v>
      </c>
      <c r="AE24" s="1655"/>
      <c r="AF24" s="1657"/>
      <c r="AG24" s="1668">
        <f>ROUND(SUM(AA24-AD24),1)</f>
        <v>8</v>
      </c>
      <c r="AH24" s="1641"/>
      <c r="AI24" s="1136">
        <f>ROUND(IF(AD24=0,1,AG24/ABS(AD24)),3)</f>
        <v>0.23200000000000001</v>
      </c>
    </row>
    <row r="25" spans="1:35" s="388" customFormat="1" ht="22.5" customHeight="1">
      <c r="A25" s="246" t="s">
        <v>155</v>
      </c>
      <c r="B25" s="2091">
        <f>ROUND(SUM(B22)+SUM(B23)+SUM(B24),1)</f>
        <v>8.3000000000000007</v>
      </c>
      <c r="C25" s="379"/>
      <c r="D25" s="843">
        <f>ROUND(SUM(D22)+SUM(D23)+SUM(D24),1)</f>
        <v>10.7</v>
      </c>
      <c r="E25" s="379"/>
      <c r="F25" s="3235">
        <f>ROUND(SUM(F22)+SUM(F23)+SUM(F24),1)</f>
        <v>14.1</v>
      </c>
      <c r="G25" s="843"/>
      <c r="H25" s="843">
        <f>ROUND(SUM(H22)+SUM(H23)+SUM(H24),1)</f>
        <v>11.2</v>
      </c>
      <c r="I25" s="838"/>
      <c r="J25" s="2096">
        <f>ROUND(SUM(J22)+SUM(J23)+SUM(J24),1)</f>
        <v>9.9</v>
      </c>
      <c r="K25" s="379"/>
      <c r="L25" s="2096">
        <f>ROUND(SUM(L22)+SUM(L23)+SUM(L24),1)</f>
        <v>12.7</v>
      </c>
      <c r="M25" s="838"/>
      <c r="N25" s="2096">
        <f>ROUND(SUM(N22)+SUM(N23)+SUM(N24),1)</f>
        <v>9.9</v>
      </c>
      <c r="O25" s="838"/>
      <c r="P25" s="2096">
        <f>ROUND(SUM(P22)+SUM(P23)+SUM(P24),1)</f>
        <v>15.3</v>
      </c>
      <c r="Q25" s="838"/>
      <c r="R25" s="2091">
        <f>ROUND(SUM(R22)+SUM(R23)+SUM(R24),1)</f>
        <v>14.3</v>
      </c>
      <c r="S25" s="838"/>
      <c r="T25" s="2091">
        <f>ROUND(SUM(T22)+SUM(T23)+SUM(T24),1)</f>
        <v>14.3</v>
      </c>
      <c r="U25" s="838"/>
      <c r="V25" s="2096">
        <f>ROUND(SUM(V22)+SUM(V23)+SUM(V24),1)</f>
        <v>0</v>
      </c>
      <c r="W25" s="838"/>
      <c r="X25" s="2096">
        <f>ROUND(SUM(X22)+SUM(X23)+SUM(X24),1)</f>
        <v>0</v>
      </c>
      <c r="Y25" s="839"/>
      <c r="Z25" s="840"/>
      <c r="AA25" s="2177">
        <f>ROUND(SUM(AA22:AA24),1)</f>
        <v>120.7</v>
      </c>
      <c r="AB25" s="3217"/>
      <c r="AC25" s="3218"/>
      <c r="AD25" s="2177">
        <f>ROUND(SUM(AD22:AD24),1)</f>
        <v>106.3</v>
      </c>
      <c r="AE25" s="1149"/>
      <c r="AF25" s="1114"/>
      <c r="AG25" s="1153">
        <f>ROUND(SUM(AG22:AG24),1)</f>
        <v>14.4</v>
      </c>
      <c r="AH25" s="1132"/>
      <c r="AI25" s="1155">
        <f>ROUND(IF(AG25=0,0,AG25/ABS(AD25)),3)</f>
        <v>0.13500000000000001</v>
      </c>
    </row>
    <row r="26" spans="1:35" s="388" customFormat="1" ht="19.350000000000001" customHeight="1">
      <c r="A26" s="146"/>
      <c r="B26" s="378"/>
      <c r="C26" s="234"/>
      <c r="D26" s="378" t="s">
        <v>14</v>
      </c>
      <c r="E26" s="234"/>
      <c r="F26" s="2178"/>
      <c r="G26" s="234"/>
      <c r="H26" s="841"/>
      <c r="I26" s="833"/>
      <c r="J26" s="841"/>
      <c r="K26" s="234"/>
      <c r="L26" s="841"/>
      <c r="M26" s="833"/>
      <c r="N26" s="841"/>
      <c r="O26" s="833"/>
      <c r="P26" s="841"/>
      <c r="Q26" s="833"/>
      <c r="R26" s="841"/>
      <c r="S26" s="833"/>
      <c r="T26" s="841"/>
      <c r="U26" s="833"/>
      <c r="V26" s="841"/>
      <c r="W26" s="833"/>
      <c r="X26" s="841"/>
      <c r="Y26" s="834"/>
      <c r="Z26" s="835"/>
      <c r="AA26" s="2178"/>
      <c r="AB26" s="1648"/>
      <c r="AC26" s="1646"/>
      <c r="AD26" s="2178"/>
      <c r="AE26" s="1131"/>
      <c r="AF26" s="1113"/>
      <c r="AG26" s="1131"/>
      <c r="AH26" s="1121"/>
      <c r="AI26" s="1120"/>
    </row>
    <row r="27" spans="1:35" s="388" customFormat="1" ht="19.350000000000001" customHeight="1">
      <c r="A27" s="246" t="s">
        <v>156</v>
      </c>
      <c r="B27" s="234"/>
      <c r="C27" s="234"/>
      <c r="D27" s="238" t="s">
        <v>14</v>
      </c>
      <c r="E27" s="234"/>
      <c r="F27" s="1559"/>
      <c r="G27" s="234"/>
      <c r="H27" s="833"/>
      <c r="I27" s="833"/>
      <c r="J27" s="833"/>
      <c r="K27" s="234"/>
      <c r="L27" s="833"/>
      <c r="M27" s="833"/>
      <c r="N27" s="833"/>
      <c r="O27" s="833"/>
      <c r="P27" s="833"/>
      <c r="Q27" s="833"/>
      <c r="R27" s="833"/>
      <c r="S27" s="833"/>
      <c r="T27" s="833"/>
      <c r="U27" s="833"/>
      <c r="V27" s="833"/>
      <c r="W27" s="833"/>
      <c r="X27" s="833"/>
      <c r="Y27" s="834"/>
      <c r="Z27" s="835"/>
      <c r="AA27" s="1559"/>
      <c r="AB27" s="1648"/>
      <c r="AC27" s="1647"/>
      <c r="AD27" s="1559"/>
      <c r="AE27" s="1147"/>
      <c r="AF27" s="1113"/>
      <c r="AG27" s="1131"/>
      <c r="AH27" s="1121"/>
      <c r="AI27" s="1120"/>
    </row>
    <row r="28" spans="1:35" s="388" customFormat="1" ht="18.75" customHeight="1">
      <c r="A28" s="246" t="s">
        <v>44</v>
      </c>
      <c r="B28" s="844">
        <f>ROUND(B17-B25,1)</f>
        <v>-2.4</v>
      </c>
      <c r="C28" s="379"/>
      <c r="D28" s="844">
        <f>ROUND(D17-D25,1)</f>
        <v>2.4</v>
      </c>
      <c r="E28" s="379"/>
      <c r="F28" s="3647">
        <f>ROUND(F17-F25,1)</f>
        <v>-2.2000000000000002</v>
      </c>
      <c r="G28" s="379"/>
      <c r="H28" s="844">
        <f>ROUND(H17-H25,1)</f>
        <v>-2.6</v>
      </c>
      <c r="I28" s="380"/>
      <c r="J28" s="844">
        <f>ROUND(J17-J25,1)</f>
        <v>3.1</v>
      </c>
      <c r="K28" s="379"/>
      <c r="L28" s="844">
        <f>ROUND(L17-L25,1)</f>
        <v>1.7</v>
      </c>
      <c r="M28" s="838"/>
      <c r="N28" s="844">
        <f>ROUND(N17-N25,1)</f>
        <v>0.3</v>
      </c>
      <c r="O28" s="838"/>
      <c r="P28" s="844">
        <f>ROUND(P17-P25,1)</f>
        <v>-6.9</v>
      </c>
      <c r="Q28" s="838"/>
      <c r="R28" s="844">
        <f>ROUND(R17-R25,1)</f>
        <v>7.8</v>
      </c>
      <c r="S28" s="838"/>
      <c r="T28" s="844">
        <f>ROUND(T17-T25,1)</f>
        <v>-3.6</v>
      </c>
      <c r="U28" s="838"/>
      <c r="V28" s="844">
        <f>ROUND(V17-V25,1)</f>
        <v>0</v>
      </c>
      <c r="W28" s="838"/>
      <c r="X28" s="844">
        <f>ROUND(X17-X25,1)</f>
        <v>0</v>
      </c>
      <c r="Y28" s="839"/>
      <c r="Z28" s="840"/>
      <c r="AA28" s="3219">
        <f>ROUND(AA17-AA25,1)</f>
        <v>-2.4</v>
      </c>
      <c r="AB28" s="3217"/>
      <c r="AC28" s="3672"/>
      <c r="AD28" s="3219">
        <f>ROUND(AD17-AD25,1)</f>
        <v>-5.7</v>
      </c>
      <c r="AE28" s="1150"/>
      <c r="AF28" s="1114"/>
      <c r="AG28" s="1398">
        <f>ROUND(SUM(AA28-AD28),1)</f>
        <v>3.3</v>
      </c>
      <c r="AH28" s="1121"/>
      <c r="AI28" s="1566">
        <f>ROUND(IF(AG28=0,0,AG28/ABS(AD28)),3)</f>
        <v>0.57899999999999996</v>
      </c>
    </row>
    <row r="29" spans="1:35" s="388" customFormat="1" ht="19.350000000000001" customHeight="1">
      <c r="A29" s="146"/>
      <c r="B29" s="238"/>
      <c r="C29" s="234"/>
      <c r="D29" s="238" t="s">
        <v>14</v>
      </c>
      <c r="E29" s="234"/>
      <c r="F29" s="1652"/>
      <c r="G29" s="234"/>
      <c r="H29" s="832"/>
      <c r="I29" s="833"/>
      <c r="J29" s="832"/>
      <c r="K29" s="234"/>
      <c r="L29" s="832"/>
      <c r="M29" s="833"/>
      <c r="N29" s="841"/>
      <c r="O29" s="833"/>
      <c r="P29" s="832"/>
      <c r="Q29" s="833"/>
      <c r="R29" s="841"/>
      <c r="S29" s="833"/>
      <c r="T29" s="832"/>
      <c r="U29" s="833"/>
      <c r="V29" s="832"/>
      <c r="W29" s="833"/>
      <c r="X29" s="841"/>
      <c r="Y29" s="834"/>
      <c r="Z29" s="835"/>
      <c r="AA29" s="1652"/>
      <c r="AB29" s="1648"/>
      <c r="AC29" s="1646"/>
      <c r="AD29" s="1652"/>
      <c r="AE29" s="1131"/>
      <c r="AF29" s="1115"/>
      <c r="AG29" s="1131"/>
      <c r="AH29" s="1121"/>
      <c r="AI29" s="1120"/>
    </row>
    <row r="30" spans="1:35" s="388" customFormat="1" ht="19.350000000000001" customHeight="1">
      <c r="A30" s="246" t="s">
        <v>45</v>
      </c>
      <c r="B30" s="234"/>
      <c r="C30" s="234"/>
      <c r="D30" s="234"/>
      <c r="E30" s="234"/>
      <c r="F30" s="1559"/>
      <c r="G30" s="234"/>
      <c r="H30" s="833"/>
      <c r="I30" s="833"/>
      <c r="J30" s="833"/>
      <c r="K30" s="234"/>
      <c r="L30" s="833"/>
      <c r="M30" s="833"/>
      <c r="N30" s="833"/>
      <c r="O30" s="833"/>
      <c r="P30" s="833"/>
      <c r="Q30" s="833"/>
      <c r="R30" s="833"/>
      <c r="S30" s="833"/>
      <c r="T30" s="833"/>
      <c r="U30" s="833"/>
      <c r="V30" s="833"/>
      <c r="W30" s="833"/>
      <c r="X30" s="833"/>
      <c r="Y30" s="834"/>
      <c r="Z30" s="835"/>
      <c r="AA30" s="1559"/>
      <c r="AB30" s="1648"/>
      <c r="AC30" s="1647"/>
      <c r="AD30" s="1559"/>
      <c r="AE30" s="1147"/>
      <c r="AF30" s="1115"/>
      <c r="AG30" s="1131"/>
      <c r="AH30" s="1121"/>
      <c r="AI30" s="1120"/>
    </row>
    <row r="31" spans="1:35" s="388" customFormat="1" ht="19.350000000000001" customHeight="1">
      <c r="A31" s="146" t="s">
        <v>180</v>
      </c>
      <c r="B31" s="842">
        <v>0</v>
      </c>
      <c r="C31" s="234"/>
      <c r="D31" s="842">
        <v>0</v>
      </c>
      <c r="E31" s="234"/>
      <c r="F31" s="1667">
        <v>0</v>
      </c>
      <c r="G31" s="234"/>
      <c r="H31" s="1667">
        <v>0</v>
      </c>
      <c r="I31" s="1647"/>
      <c r="J31" s="842">
        <v>0</v>
      </c>
      <c r="K31" s="1559"/>
      <c r="L31" s="842">
        <v>0</v>
      </c>
      <c r="M31" s="1647"/>
      <c r="N31" s="1667">
        <v>0</v>
      </c>
      <c r="O31" s="1647"/>
      <c r="P31" s="1667">
        <v>0</v>
      </c>
      <c r="Q31" s="1647"/>
      <c r="R31" s="1667">
        <v>0</v>
      </c>
      <c r="S31" s="1647"/>
      <c r="T31" s="1667">
        <f t="shared" ref="T31:T32" si="1">$AA31-$B31-$D31-$F31-$H31-$J31-$L31-$N31-R31-P31</f>
        <v>0</v>
      </c>
      <c r="U31" s="1647"/>
      <c r="V31" s="1667"/>
      <c r="W31" s="1647"/>
      <c r="X31" s="1667"/>
      <c r="Y31" s="1648"/>
      <c r="Z31" s="1649"/>
      <c r="AA31" s="1667">
        <v>0</v>
      </c>
      <c r="AB31" s="1648"/>
      <c r="AC31" s="1647"/>
      <c r="AD31" s="1667">
        <v>0</v>
      </c>
      <c r="AE31" s="1148"/>
      <c r="AF31" s="1116"/>
      <c r="AG31" s="238">
        <f>ROUND(SUM(AA31-AD31),1)</f>
        <v>0</v>
      </c>
      <c r="AH31" s="1135"/>
      <c r="AI31" s="1136">
        <f>ROUND(IF(AG31=0,0,AG31/ABS(AD31)),3)</f>
        <v>0</v>
      </c>
    </row>
    <row r="32" spans="1:35" s="388" customFormat="1" ht="19.350000000000001" customHeight="1">
      <c r="A32" s="146" t="s">
        <v>181</v>
      </c>
      <c r="B32" s="842">
        <v>0</v>
      </c>
      <c r="C32" s="234"/>
      <c r="D32" s="842">
        <v>0</v>
      </c>
      <c r="E32" s="234"/>
      <c r="F32" s="1667">
        <v>0</v>
      </c>
      <c r="G32" s="234"/>
      <c r="H32" s="2140">
        <v>0</v>
      </c>
      <c r="I32" s="1647"/>
      <c r="J32" s="2140">
        <v>0</v>
      </c>
      <c r="K32" s="1559"/>
      <c r="L32" s="2140">
        <v>0</v>
      </c>
      <c r="M32" s="1647"/>
      <c r="N32" s="1667">
        <v>0</v>
      </c>
      <c r="O32" s="1647"/>
      <c r="P32" s="1667">
        <v>0</v>
      </c>
      <c r="Q32" s="1647"/>
      <c r="R32" s="1645">
        <v>0</v>
      </c>
      <c r="S32" s="1647"/>
      <c r="T32" s="1645">
        <f t="shared" si="1"/>
        <v>0</v>
      </c>
      <c r="U32" s="1647"/>
      <c r="V32" s="1667"/>
      <c r="W32" s="1647"/>
      <c r="X32" s="1667"/>
      <c r="Y32" s="1648"/>
      <c r="Z32" s="1649"/>
      <c r="AA32" s="3671">
        <v>0</v>
      </c>
      <c r="AB32" s="1648"/>
      <c r="AC32" s="1647"/>
      <c r="AD32" s="3671">
        <v>0</v>
      </c>
      <c r="AE32" s="1148"/>
      <c r="AF32" s="1115"/>
      <c r="AG32" s="238">
        <f>ROUND(SUM(AA32-AD32),1)</f>
        <v>0</v>
      </c>
      <c r="AH32" s="1135"/>
      <c r="AI32" s="1136">
        <f>ROUND(IF(AG32=0,0,AG32/ABS(AD32)),3)</f>
        <v>0</v>
      </c>
    </row>
    <row r="33" spans="1:35" s="388" customFormat="1" ht="22.5" customHeight="1">
      <c r="A33" s="246" t="s">
        <v>206</v>
      </c>
      <c r="B33" s="846">
        <f>ROUND(SUM(B31:B32),1)</f>
        <v>0</v>
      </c>
      <c r="C33" s="379"/>
      <c r="D33" s="846">
        <f>ROUND(SUM(D31:D32),1)</f>
        <v>0</v>
      </c>
      <c r="E33" s="381"/>
      <c r="F33" s="3648">
        <f>ROUND(SUM(F31:F32),1)</f>
        <v>0</v>
      </c>
      <c r="G33" s="381"/>
      <c r="H33" s="846">
        <f>ROUND(SUM(H31:H32),1)</f>
        <v>0</v>
      </c>
      <c r="I33" s="847"/>
      <c r="J33" s="846">
        <f>ROUND(SUM(J31:J32),1)</f>
        <v>0</v>
      </c>
      <c r="K33" s="381"/>
      <c r="L33" s="846">
        <f>ROUND(SUM(L31:L32),1)</f>
        <v>0</v>
      </c>
      <c r="M33" s="847"/>
      <c r="N33" s="846">
        <f>ROUND(SUM(N31:N32),1)</f>
        <v>0</v>
      </c>
      <c r="O33" s="847"/>
      <c r="P33" s="846">
        <f>ROUND(SUM(P31:P32),1)</f>
        <v>0</v>
      </c>
      <c r="Q33" s="847"/>
      <c r="R33" s="846">
        <f>ROUND(SUM(R31:R32),1)</f>
        <v>0</v>
      </c>
      <c r="S33" s="847"/>
      <c r="T33" s="846">
        <f>ROUND(SUM(T31:T32),1)</f>
        <v>0</v>
      </c>
      <c r="U33" s="847"/>
      <c r="V33" s="846">
        <f>ROUND(SUM(V31:V32),1)</f>
        <v>0</v>
      </c>
      <c r="W33" s="847"/>
      <c r="X33" s="846">
        <f>ROUND(SUM(X31:X32),1)</f>
        <v>0</v>
      </c>
      <c r="Y33" s="839"/>
      <c r="Z33" s="840"/>
      <c r="AA33" s="3220">
        <f>ROUND(SUM(AA31:AA32),1)</f>
        <v>0</v>
      </c>
      <c r="AB33" s="3673"/>
      <c r="AC33" s="3674"/>
      <c r="AD33" s="3220">
        <f>ROUND(SUM(AD31:AD32),1)</f>
        <v>0</v>
      </c>
      <c r="AE33" s="1151"/>
      <c r="AF33" s="1116"/>
      <c r="AG33" s="1153">
        <f>ROUND(SUM(AG31-AG32),1)</f>
        <v>0</v>
      </c>
      <c r="AH33" s="1139"/>
      <c r="AI33" s="1155">
        <f>ROUND(IF(AG33=0,0,AG33/ABS(AD33)),3)</f>
        <v>0</v>
      </c>
    </row>
    <row r="34" spans="1:35" s="388" customFormat="1" ht="19.350000000000001" customHeight="1">
      <c r="A34" s="146"/>
      <c r="B34" s="378"/>
      <c r="C34" s="234"/>
      <c r="D34" s="378" t="s">
        <v>14</v>
      </c>
      <c r="E34" s="234"/>
      <c r="F34" s="2178"/>
      <c r="G34" s="234"/>
      <c r="H34" s="841"/>
      <c r="I34" s="833"/>
      <c r="J34" s="841"/>
      <c r="K34" s="234"/>
      <c r="L34" s="841"/>
      <c r="M34" s="833"/>
      <c r="N34" s="841"/>
      <c r="O34" s="833"/>
      <c r="P34" s="841"/>
      <c r="Q34" s="833"/>
      <c r="R34" s="841"/>
      <c r="S34" s="833"/>
      <c r="T34" s="841"/>
      <c r="U34" s="833"/>
      <c r="V34" s="841"/>
      <c r="W34" s="833"/>
      <c r="X34" s="841"/>
      <c r="Y34" s="834"/>
      <c r="Z34" s="835"/>
      <c r="AA34" s="2178"/>
      <c r="AB34" s="1648"/>
      <c r="AC34" s="1646"/>
      <c r="AD34" s="2178"/>
      <c r="AE34" s="1131"/>
      <c r="AF34" s="1113"/>
      <c r="AG34" s="1131"/>
      <c r="AH34" s="1121"/>
      <c r="AI34" s="1120"/>
    </row>
    <row r="35" spans="1:35" s="388" customFormat="1" ht="19.350000000000001" customHeight="1">
      <c r="A35" s="246" t="s">
        <v>164</v>
      </c>
      <c r="B35" s="234"/>
      <c r="C35" s="234"/>
      <c r="D35" s="234" t="s">
        <v>14</v>
      </c>
      <c r="E35" s="234"/>
      <c r="F35" s="1559"/>
      <c r="G35" s="234"/>
      <c r="H35" s="833"/>
      <c r="I35" s="833"/>
      <c r="J35" s="833"/>
      <c r="K35" s="234"/>
      <c r="L35" s="833"/>
      <c r="M35" s="833"/>
      <c r="N35" s="833"/>
      <c r="O35" s="833"/>
      <c r="P35" s="833"/>
      <c r="Q35" s="833"/>
      <c r="R35" s="833"/>
      <c r="S35" s="833"/>
      <c r="T35" s="833"/>
      <c r="U35" s="833"/>
      <c r="V35" s="833"/>
      <c r="W35" s="833"/>
      <c r="X35" s="833"/>
      <c r="Y35" s="834"/>
      <c r="Z35" s="835"/>
      <c r="AA35" s="1559"/>
      <c r="AB35" s="1648"/>
      <c r="AC35" s="1647"/>
      <c r="AD35" s="1559"/>
      <c r="AE35" s="1147"/>
      <c r="AF35" s="1113"/>
      <c r="AG35" s="1131"/>
      <c r="AH35" s="1121"/>
      <c r="AI35" s="1120"/>
    </row>
    <row r="36" spans="1:35" s="388" customFormat="1" ht="19.350000000000001" customHeight="1">
      <c r="A36" s="246" t="s">
        <v>225</v>
      </c>
      <c r="B36" s="234"/>
      <c r="C36" s="234"/>
      <c r="D36" s="234"/>
      <c r="E36" s="234"/>
      <c r="F36" s="1559"/>
      <c r="G36" s="234"/>
      <c r="H36" s="833"/>
      <c r="I36" s="833"/>
      <c r="J36" s="833"/>
      <c r="K36" s="234"/>
      <c r="L36" s="833"/>
      <c r="M36" s="833"/>
      <c r="N36" s="833"/>
      <c r="O36" s="833"/>
      <c r="P36" s="833"/>
      <c r="Q36" s="833"/>
      <c r="R36" s="833"/>
      <c r="S36" s="833"/>
      <c r="T36" s="854"/>
      <c r="U36" s="833"/>
      <c r="V36" s="854"/>
      <c r="W36" s="833"/>
      <c r="X36" s="833"/>
      <c r="Y36" s="834"/>
      <c r="Z36" s="835"/>
      <c r="AA36" s="1559"/>
      <c r="AB36" s="1648"/>
      <c r="AC36" s="1647"/>
      <c r="AD36" s="2183"/>
      <c r="AE36" s="1152"/>
      <c r="AF36" s="1117"/>
      <c r="AG36" s="1131"/>
      <c r="AH36" s="1121"/>
      <c r="AI36" s="1120"/>
    </row>
    <row r="37" spans="1:35" s="390" customFormat="1" ht="19.350000000000001" customHeight="1">
      <c r="A37" s="246" t="s">
        <v>855</v>
      </c>
      <c r="B37" s="843">
        <f>ROUND(+B28+B33,1)</f>
        <v>-2.4</v>
      </c>
      <c r="C37" s="379"/>
      <c r="D37" s="843">
        <f>ROUND(+D28+D33,1)</f>
        <v>2.4</v>
      </c>
      <c r="E37" s="381"/>
      <c r="F37" s="1679">
        <f>ROUND(+F28+F33,1)</f>
        <v>-2.2000000000000002</v>
      </c>
      <c r="G37" s="381"/>
      <c r="H37" s="843">
        <f>ROUND(+H28+H33,1)</f>
        <v>-2.6</v>
      </c>
      <c r="I37" s="847"/>
      <c r="J37" s="843">
        <f>ROUND(+J28+J33,1)</f>
        <v>3.1</v>
      </c>
      <c r="K37" s="381"/>
      <c r="L37" s="843">
        <f>ROUND(+L28+L33,1)</f>
        <v>1.7</v>
      </c>
      <c r="M37" s="848"/>
      <c r="N37" s="843">
        <f>ROUND(+N28+N33,1)</f>
        <v>0.3</v>
      </c>
      <c r="O37" s="848"/>
      <c r="P37" s="843">
        <f>ROUND(+P28+P33,1)</f>
        <v>-6.9</v>
      </c>
      <c r="Q37" s="848"/>
      <c r="R37" s="843">
        <f>ROUND(+R28+R33,1)</f>
        <v>7.8</v>
      </c>
      <c r="S37" s="847"/>
      <c r="T37" s="843">
        <f>ROUND(+T28+T33,1)</f>
        <v>-3.6</v>
      </c>
      <c r="U37" s="847"/>
      <c r="V37" s="843">
        <f>ROUND(+V28+V33,1)</f>
        <v>0</v>
      </c>
      <c r="W37" s="847"/>
      <c r="X37" s="843">
        <f>ROUND(+X28+X33,1)</f>
        <v>0</v>
      </c>
      <c r="Y37" s="839"/>
      <c r="Z37" s="840"/>
      <c r="AA37" s="2179">
        <f>ROUND(AA28+AA33,1)</f>
        <v>-2.4</v>
      </c>
      <c r="AB37" s="3206"/>
      <c r="AC37" s="3675"/>
      <c r="AD37" s="2179">
        <f>ROUND(AD28+AD33,1)</f>
        <v>-5.7</v>
      </c>
      <c r="AE37" s="1150"/>
      <c r="AF37" s="1118"/>
      <c r="AG37" s="1398">
        <f>ROUND(SUM(AA37-AD37),1)</f>
        <v>3.3</v>
      </c>
      <c r="AH37" s="1121"/>
      <c r="AI37" s="1565">
        <f>ROUND(IF(AG37=0,0,AG37/ABS(AD37)),3)</f>
        <v>0.57899999999999996</v>
      </c>
    </row>
    <row r="38" spans="1:35" s="388" customFormat="1" ht="22.5" customHeight="1" thickBot="1">
      <c r="A38" s="246" t="s">
        <v>140</v>
      </c>
      <c r="B38" s="849">
        <f>ROUND(B13+B37,1)</f>
        <v>-2.4</v>
      </c>
      <c r="C38" s="374"/>
      <c r="D38" s="849">
        <f>ROUND(D13+D37,1)</f>
        <v>0</v>
      </c>
      <c r="E38" s="374"/>
      <c r="F38" s="3221">
        <f>ROUND(F13+F37,1)</f>
        <v>-2.2000000000000002</v>
      </c>
      <c r="G38" s="374"/>
      <c r="H38" s="849">
        <f>ROUND(H13+H37,1)</f>
        <v>-4.8</v>
      </c>
      <c r="I38" s="850"/>
      <c r="J38" s="849">
        <f>ROUND(J13+J37,1)</f>
        <v>-1.7</v>
      </c>
      <c r="K38" s="374"/>
      <c r="L38" s="849">
        <f>ROUND(L13+L37,1)</f>
        <v>0</v>
      </c>
      <c r="M38" s="375"/>
      <c r="N38" s="849">
        <f>ROUND(N13+N37,1)</f>
        <v>0.3</v>
      </c>
      <c r="O38" s="375"/>
      <c r="P38" s="849">
        <f>ROUND(P13+P37,1)</f>
        <v>-6.6</v>
      </c>
      <c r="Q38" s="375"/>
      <c r="R38" s="849">
        <f>ROUND(R13+R37,1)</f>
        <v>1.2</v>
      </c>
      <c r="S38" s="850"/>
      <c r="T38" s="849">
        <f>ROUND(T13+T37,1)</f>
        <v>-2.4</v>
      </c>
      <c r="U38" s="850"/>
      <c r="V38" s="849">
        <f>ROUND(V13+V37,1)</f>
        <v>0</v>
      </c>
      <c r="W38" s="850"/>
      <c r="X38" s="849">
        <f>ROUND(X13+X37,1)</f>
        <v>0</v>
      </c>
      <c r="Y38" s="824"/>
      <c r="Z38" s="825"/>
      <c r="AA38" s="3221">
        <f>ROUND(SUM(AA13,AA37),1)</f>
        <v>-2.4</v>
      </c>
      <c r="AB38" s="2185"/>
      <c r="AC38" s="3676"/>
      <c r="AD38" s="3677">
        <f>ROUND(SUM(AD13,AD37),1)</f>
        <v>-6.8</v>
      </c>
      <c r="AE38" s="1128"/>
      <c r="AF38" s="1119"/>
      <c r="AG38" s="1156">
        <f>ROUND(SUM(AA38-AD38),1)</f>
        <v>4.4000000000000004</v>
      </c>
      <c r="AH38" s="1138"/>
      <c r="AI38" s="1461">
        <f>ROUND(IF(AG38=0,0,AG38/ABS(AD38)),3)</f>
        <v>0.64700000000000002</v>
      </c>
    </row>
    <row r="39" spans="1:35" s="388" customFormat="1" ht="19.350000000000001" customHeight="1" thickTop="1">
      <c r="A39" s="146" t="s">
        <v>14</v>
      </c>
      <c r="B39" s="851"/>
      <c r="C39" s="852"/>
      <c r="D39" s="851"/>
      <c r="E39" s="852"/>
      <c r="F39" s="3222"/>
      <c r="G39" s="852"/>
      <c r="H39" s="851"/>
      <c r="I39" s="852"/>
      <c r="J39" s="851"/>
      <c r="K39" s="852"/>
      <c r="L39" s="851"/>
      <c r="M39" s="852"/>
      <c r="N39" s="851"/>
      <c r="O39" s="852"/>
      <c r="P39" s="851"/>
      <c r="Q39" s="852"/>
      <c r="R39" s="851"/>
      <c r="S39" s="852"/>
      <c r="T39" s="851"/>
      <c r="U39" s="852"/>
      <c r="V39" s="851"/>
      <c r="W39" s="852"/>
      <c r="X39" s="851"/>
      <c r="Y39" s="852"/>
      <c r="Z39" s="852"/>
      <c r="AA39" s="3222"/>
      <c r="AB39" s="2187"/>
      <c r="AC39" s="2187"/>
      <c r="AD39" s="2187"/>
      <c r="AE39" s="1137"/>
      <c r="AF39" s="1137"/>
      <c r="AG39" s="1129"/>
      <c r="AH39" s="1121"/>
      <c r="AI39" s="1120"/>
    </row>
    <row r="40" spans="1:35" s="388" customFormat="1" ht="19.350000000000001" customHeight="1">
      <c r="B40" s="658"/>
      <c r="C40" s="804"/>
      <c r="D40" s="658"/>
      <c r="E40" s="658"/>
      <c r="F40" s="640"/>
      <c r="G40" s="658"/>
      <c r="H40" s="658"/>
      <c r="I40" s="658"/>
      <c r="J40" s="658"/>
      <c r="K40" s="658"/>
      <c r="L40" s="658"/>
      <c r="M40" s="658"/>
      <c r="N40" s="658"/>
      <c r="O40" s="658"/>
      <c r="P40" s="658"/>
      <c r="Q40" s="658"/>
      <c r="R40" s="658"/>
      <c r="S40" s="658"/>
      <c r="T40" s="658"/>
      <c r="U40" s="658"/>
      <c r="V40" s="658"/>
      <c r="W40" s="658"/>
      <c r="X40" s="658"/>
      <c r="Y40" s="658"/>
      <c r="Z40" s="853"/>
      <c r="AA40" s="2187"/>
      <c r="AB40" s="2187"/>
      <c r="AC40" s="2187"/>
      <c r="AD40" s="2187"/>
      <c r="AE40" s="1137"/>
      <c r="AF40" s="1137"/>
      <c r="AG40" s="1129"/>
      <c r="AH40" s="1121"/>
      <c r="AI40" s="1120"/>
    </row>
    <row r="41" spans="1:35" ht="15.75" customHeight="1">
      <c r="A41" s="391"/>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137"/>
      <c r="AB41" s="137"/>
      <c r="AC41" s="137"/>
      <c r="AD41" s="3224"/>
      <c r="AE41" s="1123"/>
      <c r="AF41" s="1123"/>
      <c r="AG41" s="1129"/>
    </row>
    <row r="42" spans="1:35">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row>
    <row r="43" spans="1:35" ht="13.5" customHeight="1">
      <c r="A43" s="679"/>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137"/>
      <c r="AB43" s="137"/>
      <c r="AC43" s="137"/>
      <c r="AD43" s="3224"/>
      <c r="AE43" s="1123"/>
      <c r="AF43" s="1123"/>
      <c r="AG43" s="1129"/>
    </row>
    <row r="44" spans="1:35">
      <c r="A44" s="679"/>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137"/>
      <c r="AB44" s="137"/>
      <c r="AC44" s="137"/>
      <c r="AD44" s="3224"/>
      <c r="AE44" s="1123"/>
      <c r="AF44" s="1123"/>
      <c r="AG44" s="1129"/>
    </row>
    <row r="45" spans="1:35">
      <c r="A45" s="679"/>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137"/>
      <c r="AB45" s="137"/>
      <c r="AC45" s="137"/>
      <c r="AD45" s="3224"/>
      <c r="AE45" s="1123"/>
      <c r="AF45" s="1123"/>
    </row>
    <row r="46" spans="1:35">
      <c r="A46" s="679"/>
      <c r="B46" s="804"/>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137"/>
      <c r="AB46" s="137"/>
      <c r="AC46" s="137"/>
      <c r="AD46" s="3224"/>
      <c r="AE46" s="1123"/>
      <c r="AF46" s="1123"/>
    </row>
    <row r="47" spans="1:35">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104"/>
      <c r="AB47" s="104"/>
      <c r="AC47" s="104"/>
      <c r="AD47" s="190"/>
    </row>
  </sheetData>
  <mergeCells count="2">
    <mergeCell ref="AC9:AI9"/>
    <mergeCell ref="Z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81640625" defaultRowHeight="13.2"/>
  <cols>
    <col min="1" max="1" width="46.81640625" style="386" customWidth="1"/>
    <col min="2" max="2" width="10" style="386" customWidth="1"/>
    <col min="3" max="3" width="1.81640625" style="386" customWidth="1"/>
    <col min="4" max="4" width="10.81640625" style="386" customWidth="1"/>
    <col min="5" max="5" width="1.81640625" style="386" customWidth="1"/>
    <col min="6" max="6" width="10" style="386" customWidth="1"/>
    <col min="7" max="7" width="1.81640625" style="386" customWidth="1"/>
    <col min="8" max="8" width="10" style="386" customWidth="1"/>
    <col min="9" max="9" width="1.81640625" style="386" customWidth="1"/>
    <col min="10" max="10" width="10.81640625" style="386" customWidth="1"/>
    <col min="11" max="11" width="1.81640625" style="386" customWidth="1"/>
    <col min="12" max="12" width="14.08984375" style="386" customWidth="1"/>
    <col min="13" max="13" width="1.81640625" style="386" customWidth="1"/>
    <col min="14" max="14" width="15.453125" style="386" bestFit="1" customWidth="1"/>
    <col min="15" max="15" width="1.81640625" style="386" customWidth="1"/>
    <col min="16" max="16" width="13.453125" style="386" bestFit="1" customWidth="1"/>
    <col min="17" max="17" width="1.81640625" style="386" customWidth="1"/>
    <col min="18" max="18" width="15.08984375" style="386" bestFit="1" customWidth="1"/>
    <col min="19" max="19" width="1.81640625" style="386" customWidth="1"/>
    <col min="20" max="20" width="11" style="386" bestFit="1" customWidth="1"/>
    <col min="21" max="21" width="1.81640625" style="386" customWidth="1"/>
    <col min="22" max="22" width="12.81640625" style="386" bestFit="1" customWidth="1"/>
    <col min="23" max="23" width="1.81640625" style="386" customWidth="1"/>
    <col min="24" max="24" width="8.81640625" style="2188" customWidth="1"/>
    <col min="25" max="26" width="1.81640625" style="2188" customWidth="1"/>
    <col min="27" max="27" width="10.08984375" style="2188" customWidth="1"/>
    <col min="28" max="29" width="1.81640625" style="2188" customWidth="1"/>
    <col min="30" max="30" width="10.08984375" style="2188" customWidth="1"/>
    <col min="31" max="31" width="1.81640625" style="2188" customWidth="1"/>
    <col min="32" max="32" width="2.453125" style="2188" customWidth="1"/>
    <col min="33" max="33" width="10.08984375" style="3245" bestFit="1" customWidth="1"/>
    <col min="34" max="34" width="1.81640625" style="393" customWidth="1"/>
    <col min="35" max="35" width="11.08984375" style="386" customWidth="1"/>
    <col min="36" max="16384" width="8.81640625" style="386"/>
  </cols>
  <sheetData>
    <row r="1" spans="1:36" ht="15">
      <c r="A1" s="635" t="s">
        <v>881</v>
      </c>
    </row>
    <row r="2" spans="1:36" ht="15">
      <c r="A2" s="812"/>
    </row>
    <row r="3" spans="1:36" ht="20.25" customHeight="1">
      <c r="A3" s="3484" t="s">
        <v>0</v>
      </c>
      <c r="B3" s="28"/>
      <c r="C3" s="28"/>
      <c r="D3" s="28"/>
      <c r="E3" s="28"/>
      <c r="F3" s="28"/>
      <c r="G3" s="28"/>
      <c r="H3" s="28"/>
      <c r="I3" s="28"/>
      <c r="J3" s="28"/>
      <c r="K3" s="26"/>
      <c r="L3" s="26"/>
      <c r="M3" s="28"/>
      <c r="N3" s="28"/>
      <c r="O3" s="28"/>
      <c r="P3" s="28"/>
      <c r="Q3" s="28"/>
      <c r="R3" s="28"/>
      <c r="S3" s="28"/>
      <c r="T3" s="28"/>
      <c r="U3" s="28"/>
      <c r="V3" s="28"/>
      <c r="W3" s="28"/>
      <c r="X3" s="104"/>
      <c r="Y3" s="104"/>
      <c r="Z3" s="104"/>
      <c r="AA3" s="104"/>
      <c r="AB3" s="104"/>
      <c r="AC3" s="104"/>
      <c r="AD3" s="104"/>
      <c r="AE3" s="104"/>
      <c r="AF3" s="104"/>
      <c r="AG3" s="3246"/>
      <c r="AI3" s="818" t="s">
        <v>227</v>
      </c>
    </row>
    <row r="4" spans="1:36" ht="20.25" customHeight="1">
      <c r="A4" s="1515" t="s">
        <v>226</v>
      </c>
      <c r="B4" s="28"/>
      <c r="C4" s="28"/>
      <c r="D4" s="28"/>
      <c r="E4" s="28"/>
      <c r="F4" s="28"/>
      <c r="G4" s="28"/>
      <c r="H4" s="26" t="s">
        <v>14</v>
      </c>
      <c r="I4" s="28"/>
      <c r="J4" s="28"/>
      <c r="K4" s="26"/>
      <c r="L4" s="26"/>
      <c r="M4" s="28"/>
      <c r="N4" s="28"/>
      <c r="O4" s="28"/>
      <c r="P4" s="28"/>
      <c r="Q4" s="28"/>
      <c r="R4" s="28"/>
      <c r="S4" s="28"/>
      <c r="T4" s="28"/>
      <c r="U4" s="28"/>
      <c r="V4" s="28"/>
      <c r="W4" s="28"/>
      <c r="X4" s="104" t="s">
        <v>14</v>
      </c>
      <c r="Y4" s="104"/>
      <c r="Z4" s="104"/>
      <c r="AA4" s="104"/>
      <c r="AB4" s="104"/>
      <c r="AC4" s="104"/>
      <c r="AD4" s="104"/>
      <c r="AE4" s="104"/>
      <c r="AF4" s="104"/>
      <c r="AG4" s="3246"/>
    </row>
    <row r="5" spans="1:36" ht="20.25" customHeight="1">
      <c r="A5" s="1515" t="s">
        <v>122</v>
      </c>
      <c r="B5" s="28"/>
      <c r="C5" s="28"/>
      <c r="D5" s="28"/>
      <c r="E5" s="28"/>
      <c r="F5" s="28"/>
      <c r="G5" s="28"/>
      <c r="H5" s="28"/>
      <c r="I5" s="28"/>
      <c r="J5" s="28"/>
      <c r="K5" s="26"/>
      <c r="L5" s="26"/>
      <c r="M5" s="28"/>
      <c r="N5" s="28"/>
      <c r="O5" s="28"/>
      <c r="P5" s="28"/>
      <c r="Q5" s="28"/>
      <c r="R5" s="28"/>
      <c r="S5" s="28"/>
      <c r="T5" s="28"/>
      <c r="U5" s="28"/>
      <c r="V5" s="28"/>
      <c r="W5" s="28"/>
      <c r="X5" s="104"/>
      <c r="Y5" s="104"/>
      <c r="Z5" s="104"/>
      <c r="AB5" s="3213"/>
      <c r="AC5" s="3213"/>
      <c r="AE5" s="3168"/>
      <c r="AG5" s="3246"/>
    </row>
    <row r="6" spans="1:36" ht="20.25" customHeight="1">
      <c r="A6" s="1515"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104"/>
      <c r="Y6" s="104"/>
      <c r="Z6" s="104"/>
      <c r="AA6" s="104"/>
      <c r="AB6" s="104"/>
      <c r="AC6" s="104"/>
      <c r="AD6" s="104"/>
      <c r="AE6" s="104"/>
      <c r="AF6" s="104"/>
      <c r="AG6" s="3246"/>
    </row>
    <row r="7" spans="1:36" ht="20.25" customHeight="1">
      <c r="A7" s="3484" t="s">
        <v>1263</v>
      </c>
      <c r="B7" s="28"/>
      <c r="C7" s="28"/>
      <c r="D7" s="28"/>
      <c r="E7" s="28"/>
      <c r="F7" s="28"/>
      <c r="G7" s="28"/>
      <c r="H7" s="28"/>
      <c r="I7" s="28"/>
      <c r="J7" s="28"/>
      <c r="K7" s="26"/>
      <c r="L7" s="28"/>
      <c r="M7" s="28"/>
      <c r="N7" s="28"/>
      <c r="O7" s="28"/>
      <c r="P7" s="28"/>
      <c r="Q7" s="28"/>
      <c r="R7" s="28"/>
      <c r="S7" s="28"/>
      <c r="T7" s="28"/>
      <c r="U7" s="28"/>
      <c r="V7" s="28"/>
      <c r="W7" s="28"/>
      <c r="X7" s="104"/>
      <c r="Y7" s="104"/>
      <c r="Z7" s="104"/>
      <c r="AA7" s="3167"/>
      <c r="AB7" s="3167"/>
      <c r="AC7" s="3167"/>
      <c r="AD7" s="3167"/>
      <c r="AE7" s="3167"/>
      <c r="AF7" s="3167"/>
      <c r="AG7" s="1641"/>
      <c r="AH7" s="1121"/>
      <c r="AI7" s="1120"/>
    </row>
    <row r="8" spans="1:36" s="388" customFormat="1" ht="19.350000000000001" customHeight="1">
      <c r="A8" s="317"/>
      <c r="B8" s="28"/>
      <c r="C8" s="28"/>
      <c r="D8" s="28"/>
      <c r="E8" s="28"/>
      <c r="F8" s="28"/>
      <c r="G8" s="28"/>
      <c r="H8" s="28"/>
      <c r="I8" s="28"/>
      <c r="J8" s="28"/>
      <c r="K8" s="28"/>
      <c r="L8" s="28"/>
      <c r="M8" s="28"/>
      <c r="N8" s="28"/>
      <c r="O8" s="28"/>
      <c r="P8" s="28"/>
      <c r="Q8" s="28"/>
      <c r="R8" s="28"/>
      <c r="S8" s="28"/>
      <c r="T8" s="28"/>
      <c r="U8" s="28"/>
      <c r="V8" s="28"/>
      <c r="W8" s="28"/>
      <c r="X8" s="104"/>
      <c r="Y8" s="104"/>
      <c r="Z8" s="104"/>
      <c r="AA8" s="3167"/>
      <c r="AB8" s="3167"/>
      <c r="AC8" s="3167"/>
      <c r="AD8" s="3167"/>
      <c r="AE8" s="3167"/>
      <c r="AF8" s="3167"/>
      <c r="AG8" s="1641"/>
      <c r="AH8" s="1121"/>
      <c r="AI8" s="1120"/>
    </row>
    <row r="9" spans="1:36" s="388" customFormat="1" ht="19.350000000000001" customHeight="1">
      <c r="A9" s="28"/>
      <c r="B9" s="28"/>
      <c r="C9" s="28"/>
      <c r="D9" s="28"/>
      <c r="E9" s="28"/>
      <c r="F9" s="28"/>
      <c r="G9" s="28"/>
      <c r="H9" s="26"/>
      <c r="I9" s="26"/>
      <c r="J9" s="26"/>
      <c r="K9" s="28"/>
      <c r="L9" s="28"/>
      <c r="M9" s="28"/>
      <c r="N9" s="28"/>
      <c r="O9" s="28"/>
      <c r="P9" s="28"/>
      <c r="Q9" s="28"/>
      <c r="R9" s="28"/>
      <c r="S9" s="28"/>
      <c r="T9" s="28"/>
      <c r="U9" s="28"/>
      <c r="V9" s="28"/>
      <c r="W9" s="28"/>
      <c r="X9" s="104"/>
      <c r="Y9" s="104"/>
      <c r="Z9" s="104"/>
      <c r="AA9" s="3167"/>
      <c r="AB9" s="3167"/>
      <c r="AC9" s="3992"/>
      <c r="AD9" s="3993"/>
      <c r="AE9" s="3993"/>
      <c r="AF9" s="3993"/>
      <c r="AG9" s="3993"/>
      <c r="AH9" s="3993"/>
      <c r="AI9" s="3993"/>
    </row>
    <row r="10" spans="1:36" s="388" customFormat="1" ht="19.350000000000001" customHeight="1">
      <c r="A10" s="146"/>
      <c r="B10" s="146"/>
      <c r="C10" s="146"/>
      <c r="D10" s="146"/>
      <c r="E10" s="146"/>
      <c r="F10" s="146"/>
      <c r="G10" s="146"/>
      <c r="H10" s="146"/>
      <c r="I10" s="146"/>
      <c r="J10" s="146"/>
      <c r="K10" s="146"/>
      <c r="L10" s="146"/>
      <c r="M10" s="146"/>
      <c r="N10" s="146"/>
      <c r="O10" s="146"/>
      <c r="P10" s="146"/>
      <c r="Q10" s="146"/>
      <c r="R10" s="146"/>
      <c r="S10" s="146"/>
      <c r="T10" s="146"/>
      <c r="U10" s="146"/>
      <c r="V10" s="2094"/>
      <c r="W10" s="819"/>
      <c r="X10" s="3225"/>
      <c r="Y10" s="3223"/>
      <c r="Z10" s="1643"/>
      <c r="AA10" s="3991" t="s">
        <v>1572</v>
      </c>
      <c r="AB10" s="3994"/>
      <c r="AC10" s="3994"/>
      <c r="AD10" s="3994"/>
      <c r="AE10" s="3994"/>
      <c r="AF10" s="3994"/>
      <c r="AG10" s="3994"/>
      <c r="AH10" s="3994"/>
      <c r="AI10" s="3994"/>
    </row>
    <row r="11" spans="1:36" s="388" customFormat="1" ht="19.350000000000001"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1632"/>
      <c r="Y11" s="1632"/>
      <c r="Z11" s="3193"/>
      <c r="AA11" s="3172"/>
      <c r="AB11" s="3172"/>
      <c r="AC11" s="3172"/>
      <c r="AD11" s="3247"/>
      <c r="AE11" s="3247"/>
      <c r="AF11" s="3172"/>
      <c r="AG11" s="3175" t="s">
        <v>7</v>
      </c>
      <c r="AH11" s="1124"/>
      <c r="AI11" s="1125" t="s">
        <v>8</v>
      </c>
    </row>
    <row r="12" spans="1:36" s="388" customFormat="1" ht="19.350000000000001" customHeight="1">
      <c r="A12" s="146"/>
      <c r="B12" s="760" t="s">
        <v>123</v>
      </c>
      <c r="C12" s="246"/>
      <c r="D12" s="822" t="s">
        <v>124</v>
      </c>
      <c r="E12" s="246"/>
      <c r="F12" s="822" t="s">
        <v>125</v>
      </c>
      <c r="G12" s="246"/>
      <c r="H12" s="822" t="s">
        <v>126</v>
      </c>
      <c r="I12" s="246"/>
      <c r="J12" s="823" t="s">
        <v>224</v>
      </c>
      <c r="K12" s="246"/>
      <c r="L12" s="823" t="s">
        <v>142</v>
      </c>
      <c r="M12" s="246"/>
      <c r="N12" s="823" t="s">
        <v>143</v>
      </c>
      <c r="O12" s="246"/>
      <c r="P12" s="822" t="s">
        <v>130</v>
      </c>
      <c r="Q12" s="246"/>
      <c r="R12" s="822" t="s">
        <v>131</v>
      </c>
      <c r="S12" s="246"/>
      <c r="T12" s="823" t="s">
        <v>132</v>
      </c>
      <c r="U12" s="246"/>
      <c r="V12" s="822" t="s">
        <v>133</v>
      </c>
      <c r="W12" s="246"/>
      <c r="X12" s="3226" t="s">
        <v>184</v>
      </c>
      <c r="Y12" s="1632"/>
      <c r="Z12" s="1632"/>
      <c r="AA12" s="3227">
        <f>'Cashflow Governmental'!AB14</f>
        <v>2022</v>
      </c>
      <c r="AB12" s="3227"/>
      <c r="AC12" s="3211"/>
      <c r="AD12" s="3393">
        <f>'Cashflow Governmental'!AE14</f>
        <v>2021</v>
      </c>
      <c r="AE12" s="3211"/>
      <c r="AF12" s="3211"/>
      <c r="AG12" s="3178" t="s">
        <v>11</v>
      </c>
      <c r="AH12" s="1127"/>
      <c r="AI12" s="1126" t="s">
        <v>12</v>
      </c>
    </row>
    <row r="13" spans="1:36" s="1643" customFormat="1" ht="19.350000000000001" customHeight="1">
      <c r="A13" s="1632" t="s">
        <v>135</v>
      </c>
      <c r="B13" s="1633">
        <v>40.200000000000003</v>
      </c>
      <c r="C13" s="1634"/>
      <c r="D13" s="1633">
        <f>B38</f>
        <v>40.299999999999997</v>
      </c>
      <c r="E13" s="1634"/>
      <c r="F13" s="1633">
        <f>D38</f>
        <v>40.5</v>
      </c>
      <c r="G13" s="1634"/>
      <c r="H13" s="1633">
        <f>F38</f>
        <v>41.7</v>
      </c>
      <c r="I13" s="1635"/>
      <c r="J13" s="1633">
        <f>H38</f>
        <v>42.3</v>
      </c>
      <c r="K13" s="1634"/>
      <c r="L13" s="1633">
        <f>J38</f>
        <v>42.1</v>
      </c>
      <c r="M13" s="1635"/>
      <c r="N13" s="1633">
        <f>L38</f>
        <v>42.6</v>
      </c>
      <c r="O13" s="1635"/>
      <c r="P13" s="1633">
        <f>N38</f>
        <v>44</v>
      </c>
      <c r="Q13" s="1635"/>
      <c r="R13" s="1633">
        <f>P38</f>
        <v>44.4</v>
      </c>
      <c r="S13" s="1635"/>
      <c r="T13" s="1633">
        <f>R38</f>
        <v>44.8</v>
      </c>
      <c r="U13" s="1635"/>
      <c r="V13" s="1633"/>
      <c r="W13" s="1635"/>
      <c r="X13" s="1633"/>
      <c r="Y13" s="1636"/>
      <c r="Z13" s="1637"/>
      <c r="AA13" s="3228">
        <f>+B13</f>
        <v>40.200000000000003</v>
      </c>
      <c r="AB13" s="3229"/>
      <c r="AC13" s="3230"/>
      <c r="AD13" s="1633">
        <v>14.299999999999997</v>
      </c>
      <c r="AE13" s="1638"/>
      <c r="AF13" s="1639"/>
      <c r="AG13" s="1640">
        <f>ROUND(SUM(AA13-AD13),1)</f>
        <v>25.9</v>
      </c>
      <c r="AH13" s="1641"/>
      <c r="AI13" s="1642">
        <f>ROUND(IF(AG13=0,0,AG13/(AD13)),3)</f>
        <v>1.8109999999999999</v>
      </c>
    </row>
    <row r="14" spans="1:36" s="388" customFormat="1" ht="19.350000000000001" customHeight="1">
      <c r="A14" s="146"/>
      <c r="B14" s="376"/>
      <c r="C14" s="376"/>
      <c r="D14" s="376"/>
      <c r="E14" s="376"/>
      <c r="F14" s="3176"/>
      <c r="G14" s="376"/>
      <c r="H14" s="830"/>
      <c r="I14" s="830"/>
      <c r="J14" s="830"/>
      <c r="K14" s="376"/>
      <c r="L14" s="830"/>
      <c r="M14" s="830"/>
      <c r="N14" s="830"/>
      <c r="O14" s="830"/>
      <c r="P14" s="830"/>
      <c r="Q14" s="830"/>
      <c r="R14" s="830"/>
      <c r="S14" s="830"/>
      <c r="T14" s="830"/>
      <c r="U14" s="830"/>
      <c r="V14" s="830"/>
      <c r="W14" s="830"/>
      <c r="X14" s="3216"/>
      <c r="Y14" s="3215"/>
      <c r="Z14" s="3231"/>
      <c r="AA14" s="3232"/>
      <c r="AB14" s="3233"/>
      <c r="AC14" s="3234"/>
      <c r="AD14" s="3232"/>
      <c r="AE14" s="3232"/>
      <c r="AF14" s="3212"/>
      <c r="AG14" s="3181"/>
      <c r="AH14" s="1121"/>
      <c r="AI14" s="1120"/>
    </row>
    <row r="15" spans="1:36" s="388" customFormat="1" ht="19.350000000000001" customHeight="1">
      <c r="A15" s="246" t="s">
        <v>13</v>
      </c>
      <c r="B15" s="376"/>
      <c r="C15" s="376"/>
      <c r="D15" s="376"/>
      <c r="E15" s="376"/>
      <c r="F15" s="3176"/>
      <c r="G15" s="376"/>
      <c r="H15" s="830"/>
      <c r="I15" s="830"/>
      <c r="J15" s="830"/>
      <c r="K15" s="376"/>
      <c r="L15" s="830"/>
      <c r="M15" s="830"/>
      <c r="N15" s="830"/>
      <c r="O15" s="830"/>
      <c r="P15" s="830"/>
      <c r="Q15" s="830"/>
      <c r="R15" s="830"/>
      <c r="S15" s="830"/>
      <c r="T15" s="830"/>
      <c r="U15" s="830"/>
      <c r="V15" s="830"/>
      <c r="W15" s="830"/>
      <c r="X15" s="3216"/>
      <c r="Y15" s="3215"/>
      <c r="Z15" s="3231"/>
      <c r="AA15" s="3232"/>
      <c r="AB15" s="3233"/>
      <c r="AC15" s="3234"/>
      <c r="AD15" s="3232"/>
      <c r="AE15" s="3232"/>
      <c r="AF15" s="3212"/>
      <c r="AG15" s="3181"/>
      <c r="AH15" s="1121"/>
      <c r="AI15" s="1120"/>
    </row>
    <row r="16" spans="1:36" s="1643" customFormat="1" ht="19.350000000000001" customHeight="1">
      <c r="A16" s="1644" t="s">
        <v>177</v>
      </c>
      <c r="B16" s="1825">
        <v>0.1</v>
      </c>
      <c r="C16" s="234"/>
      <c r="D16" s="1825">
        <v>0.19999999999999998</v>
      </c>
      <c r="E16" s="234"/>
      <c r="F16" s="1645">
        <v>1.3</v>
      </c>
      <c r="G16" s="1667"/>
      <c r="H16" s="1645">
        <v>0.69999999999999973</v>
      </c>
      <c r="I16" s="1646"/>
      <c r="J16" s="1645">
        <v>-0.19999999999999973</v>
      </c>
      <c r="K16" s="1559"/>
      <c r="L16" s="1645">
        <v>0.59999999999999987</v>
      </c>
      <c r="M16" s="1647"/>
      <c r="N16" s="1645">
        <v>1.5000000000000007</v>
      </c>
      <c r="O16" s="1647"/>
      <c r="P16" s="1645">
        <v>0.50000000000000022</v>
      </c>
      <c r="Q16" s="1647"/>
      <c r="R16" s="1645">
        <v>0.5</v>
      </c>
      <c r="S16" s="1647"/>
      <c r="T16" s="1645">
        <f>$AA16-$B16-$D16-$F16-$H16-$J16-$L16-$N16-R16-P16</f>
        <v>0</v>
      </c>
      <c r="U16" s="1647"/>
      <c r="V16" s="1645"/>
      <c r="W16" s="1647"/>
      <c r="X16" s="1645"/>
      <c r="Y16" s="1648"/>
      <c r="Z16" s="1649"/>
      <c r="AA16" s="1645">
        <v>5.2</v>
      </c>
      <c r="AB16" s="3650"/>
      <c r="AC16" s="3651"/>
      <c r="AD16" s="1645">
        <v>0.29999999999999982</v>
      </c>
      <c r="AE16" s="1650"/>
      <c r="AF16" s="1651"/>
      <c r="AG16" s="1652">
        <f>ROUND(SUM(AA16-AD16),1)</f>
        <v>4.9000000000000004</v>
      </c>
      <c r="AH16" s="1641"/>
      <c r="AI16" s="1909">
        <f>ROUND(IF(AD16=0,1,AG16/ABS(AD16)),3)</f>
        <v>16.332999999999998</v>
      </c>
      <c r="AJ16" s="3881"/>
    </row>
    <row r="17" spans="1:35" s="388" customFormat="1" ht="24" customHeight="1">
      <c r="A17" s="246" t="s">
        <v>149</v>
      </c>
      <c r="B17" s="843">
        <f>ROUND(SUM(B16),1)</f>
        <v>0.1</v>
      </c>
      <c r="C17" s="379"/>
      <c r="D17" s="843">
        <f>ROUND(SUM(D16),1)</f>
        <v>0.2</v>
      </c>
      <c r="E17" s="379"/>
      <c r="F17" s="1679">
        <f>ROUND(SUM(F16),1)</f>
        <v>1.3</v>
      </c>
      <c r="G17" s="379"/>
      <c r="H17" s="843">
        <f>ROUND(SUM(H16),1)</f>
        <v>0.7</v>
      </c>
      <c r="I17" s="837"/>
      <c r="J17" s="2985">
        <f>ROUND(SUM(J16),1)</f>
        <v>-0.2</v>
      </c>
      <c r="K17" s="379"/>
      <c r="L17" s="843">
        <f>ROUND(SUM(L16),1)</f>
        <v>0.6</v>
      </c>
      <c r="M17" s="838"/>
      <c r="N17" s="843">
        <f>ROUND(SUM(N16),1)</f>
        <v>1.5</v>
      </c>
      <c r="O17" s="838"/>
      <c r="P17" s="843">
        <f>ROUND(SUM(P16),1)</f>
        <v>0.5</v>
      </c>
      <c r="Q17" s="838"/>
      <c r="R17" s="2090">
        <f>ROUND(SUM(R16),1)</f>
        <v>0.5</v>
      </c>
      <c r="S17" s="838"/>
      <c r="T17" s="843">
        <f>ROUND(SUM(T16),1)</f>
        <v>0</v>
      </c>
      <c r="U17" s="838"/>
      <c r="V17" s="2096">
        <f>ROUND(SUM(V16),1)</f>
        <v>0</v>
      </c>
      <c r="W17" s="838"/>
      <c r="X17" s="3235">
        <f>ROUND(SUM(X16),1)</f>
        <v>0</v>
      </c>
      <c r="Y17" s="3217"/>
      <c r="Z17" s="3218"/>
      <c r="AA17" s="3236">
        <f>ROUND(SUM(AA16),1)</f>
        <v>5.2</v>
      </c>
      <c r="AB17" s="3652"/>
      <c r="AC17" s="3653"/>
      <c r="AD17" s="1679">
        <f>ROUND(SUM(AD16),1)</f>
        <v>0.3</v>
      </c>
      <c r="AE17" s="3236"/>
      <c r="AF17" s="1651"/>
      <c r="AG17" s="3248">
        <f>ROUND(SUM(AG16),1)</f>
        <v>4.9000000000000004</v>
      </c>
      <c r="AH17" s="1154"/>
      <c r="AI17" s="1910">
        <f>ROUND(IF(AD17=0,1,AG17/ABS(AD17)),3)</f>
        <v>16.332999999999998</v>
      </c>
    </row>
    <row r="18" spans="1:35" s="388" customFormat="1" ht="19.350000000000001" customHeight="1">
      <c r="A18" s="146"/>
      <c r="B18" s="378"/>
      <c r="C18" s="234"/>
      <c r="D18" s="378" t="s">
        <v>14</v>
      </c>
      <c r="E18" s="234"/>
      <c r="F18" s="2178"/>
      <c r="G18" s="234"/>
      <c r="H18" s="841"/>
      <c r="I18" s="833"/>
      <c r="J18" s="841"/>
      <c r="K18" s="234"/>
      <c r="L18" s="841"/>
      <c r="M18" s="833"/>
      <c r="N18" s="841"/>
      <c r="O18" s="833"/>
      <c r="P18" s="841"/>
      <c r="Q18" s="833"/>
      <c r="R18" s="841"/>
      <c r="S18" s="833"/>
      <c r="T18" s="841"/>
      <c r="U18" s="833"/>
      <c r="V18" s="841"/>
      <c r="W18" s="833"/>
      <c r="X18" s="3237"/>
      <c r="Y18" s="1648"/>
      <c r="Z18" s="1649"/>
      <c r="AA18" s="3654"/>
      <c r="AB18" s="3650"/>
      <c r="AC18" s="3655"/>
      <c r="AD18" s="3237"/>
      <c r="AE18" s="1668"/>
      <c r="AF18" s="1651"/>
      <c r="AG18" s="1668"/>
      <c r="AH18" s="1121"/>
      <c r="AI18" s="1120"/>
    </row>
    <row r="19" spans="1:35" s="388" customFormat="1" ht="19.350000000000001" customHeight="1">
      <c r="A19" s="146"/>
      <c r="B19" s="234"/>
      <c r="C19" s="234"/>
      <c r="D19" s="234" t="s">
        <v>14</v>
      </c>
      <c r="E19" s="234"/>
      <c r="F19" s="1559"/>
      <c r="G19" s="234"/>
      <c r="H19" s="833"/>
      <c r="I19" s="833"/>
      <c r="J19" s="833"/>
      <c r="K19" s="234"/>
      <c r="L19" s="833"/>
      <c r="M19" s="833"/>
      <c r="N19" s="833"/>
      <c r="O19" s="833"/>
      <c r="P19" s="833"/>
      <c r="Q19" s="833"/>
      <c r="R19" s="833"/>
      <c r="S19" s="833"/>
      <c r="T19" s="833"/>
      <c r="U19" s="833"/>
      <c r="V19" s="833"/>
      <c r="W19" s="833"/>
      <c r="X19" s="1647"/>
      <c r="Y19" s="1648"/>
      <c r="Z19" s="1649"/>
      <c r="AA19" s="3238"/>
      <c r="AB19" s="3650"/>
      <c r="AC19" s="3651"/>
      <c r="AD19" s="1647"/>
      <c r="AE19" s="3238"/>
      <c r="AF19" s="1651"/>
      <c r="AG19" s="1668"/>
      <c r="AH19" s="1121"/>
      <c r="AI19" s="1120"/>
    </row>
    <row r="20" spans="1:35" s="388" customFormat="1" ht="19.350000000000001" customHeight="1">
      <c r="A20" s="246" t="s">
        <v>22</v>
      </c>
      <c r="B20" s="234"/>
      <c r="C20" s="234"/>
      <c r="D20" s="234" t="s">
        <v>14</v>
      </c>
      <c r="E20" s="234"/>
      <c r="F20" s="1559"/>
      <c r="G20" s="234"/>
      <c r="H20" s="833"/>
      <c r="I20" s="833"/>
      <c r="J20" s="833"/>
      <c r="K20" s="234"/>
      <c r="L20" s="833"/>
      <c r="M20" s="833"/>
      <c r="N20" s="833"/>
      <c r="O20" s="833"/>
      <c r="P20" s="833"/>
      <c r="Q20" s="833"/>
      <c r="R20" s="833"/>
      <c r="S20" s="833"/>
      <c r="T20" s="833"/>
      <c r="U20" s="833"/>
      <c r="V20" s="833"/>
      <c r="W20" s="833"/>
      <c r="X20" s="1647"/>
      <c r="Y20" s="1648"/>
      <c r="Z20" s="1649"/>
      <c r="AA20" s="3238"/>
      <c r="AB20" s="3650"/>
      <c r="AC20" s="3651"/>
      <c r="AD20" s="1647"/>
      <c r="AE20" s="3238"/>
      <c r="AF20" s="1651"/>
      <c r="AG20" s="1668"/>
      <c r="AH20" s="1121"/>
      <c r="AI20" s="1120"/>
    </row>
    <row r="21" spans="1:35" s="388" customFormat="1" ht="19.350000000000001" customHeight="1">
      <c r="A21" s="146" t="s">
        <v>151</v>
      </c>
      <c r="B21" s="235"/>
      <c r="C21" s="234"/>
      <c r="D21" s="234"/>
      <c r="E21" s="234"/>
      <c r="F21" s="1559"/>
      <c r="G21" s="234"/>
      <c r="H21" s="833"/>
      <c r="I21" s="833"/>
      <c r="J21" s="833"/>
      <c r="K21" s="234"/>
      <c r="L21" s="833"/>
      <c r="M21" s="833"/>
      <c r="N21" s="833"/>
      <c r="O21" s="833"/>
      <c r="P21" s="833"/>
      <c r="Q21" s="833"/>
      <c r="R21" s="833"/>
      <c r="S21" s="833"/>
      <c r="T21" s="833"/>
      <c r="U21" s="833"/>
      <c r="V21" s="833"/>
      <c r="W21" s="833"/>
      <c r="X21" s="1647"/>
      <c r="Y21" s="1648"/>
      <c r="Z21" s="1649"/>
      <c r="AA21" s="1659"/>
      <c r="AB21" s="3656"/>
      <c r="AC21" s="3657"/>
      <c r="AD21" s="1647"/>
      <c r="AE21" s="1659"/>
      <c r="AF21" s="1657"/>
      <c r="AG21" s="1668"/>
      <c r="AH21" s="1121"/>
      <c r="AI21" s="1120"/>
    </row>
    <row r="22" spans="1:35" s="1643" customFormat="1" ht="19.350000000000001" customHeight="1">
      <c r="A22" s="190" t="s">
        <v>217</v>
      </c>
      <c r="B22" s="842">
        <v>0</v>
      </c>
      <c r="C22" s="234"/>
      <c r="D22" s="842">
        <v>0</v>
      </c>
      <c r="E22" s="234"/>
      <c r="F22" s="1667">
        <v>0</v>
      </c>
      <c r="G22" s="234"/>
      <c r="H22" s="1667">
        <v>0.1</v>
      </c>
      <c r="I22" s="1647"/>
      <c r="J22" s="1667">
        <v>0</v>
      </c>
      <c r="K22" s="1559"/>
      <c r="L22" s="1667">
        <v>0.1</v>
      </c>
      <c r="M22" s="1647"/>
      <c r="N22" s="1667">
        <v>0</v>
      </c>
      <c r="O22" s="1647"/>
      <c r="P22" s="3898">
        <v>0</v>
      </c>
      <c r="Q22" s="1647"/>
      <c r="R22" s="1667">
        <v>9.9999999999999978E-2</v>
      </c>
      <c r="S22" s="1647"/>
      <c r="T22" s="1667">
        <f t="shared" ref="T22:T24" si="0">$AA22-$B22-$D22-$F22-$H22-$J22-$L22-$N22-R22-P22</f>
        <v>0</v>
      </c>
      <c r="U22" s="1647"/>
      <c r="V22" s="1667"/>
      <c r="W22" s="1647"/>
      <c r="X22" s="1667"/>
      <c r="Y22" s="1648"/>
      <c r="Z22" s="1649"/>
      <c r="AA22" s="1654">
        <v>0.3</v>
      </c>
      <c r="AB22" s="3650"/>
      <c r="AC22" s="3651"/>
      <c r="AD22" s="1654">
        <v>0.2</v>
      </c>
      <c r="AE22" s="1656"/>
      <c r="AF22" s="1657"/>
      <c r="AG22" s="1652">
        <f>ROUND(SUM(AA22-AD22),1)</f>
        <v>0.1</v>
      </c>
      <c r="AH22" s="1641"/>
      <c r="AI22" s="1658">
        <f>ROUND(IF(AD22=0,0,AG22/ABS(AD22)),3)</f>
        <v>0.5</v>
      </c>
    </row>
    <row r="23" spans="1:35" s="1643" customFormat="1" ht="19.350000000000001" customHeight="1">
      <c r="A23" s="1644" t="s">
        <v>169</v>
      </c>
      <c r="B23" s="842">
        <v>0</v>
      </c>
      <c r="C23" s="234"/>
      <c r="D23" s="842">
        <v>0</v>
      </c>
      <c r="E23" s="234"/>
      <c r="F23" s="1667">
        <v>0</v>
      </c>
      <c r="G23" s="234"/>
      <c r="H23" s="1667">
        <v>0</v>
      </c>
      <c r="I23" s="1647"/>
      <c r="J23" s="1667">
        <v>0</v>
      </c>
      <c r="K23" s="1559"/>
      <c r="L23" s="1667">
        <v>0</v>
      </c>
      <c r="M23" s="1647"/>
      <c r="N23" s="1667">
        <v>0.1</v>
      </c>
      <c r="O23" s="1654"/>
      <c r="P23" s="1667">
        <v>0</v>
      </c>
      <c r="Q23" s="1647"/>
      <c r="R23" s="1667">
        <v>0</v>
      </c>
      <c r="S23" s="1647"/>
      <c r="T23" s="1667">
        <f t="shared" si="0"/>
        <v>0</v>
      </c>
      <c r="U23" s="1647"/>
      <c r="V23" s="1667"/>
      <c r="W23" s="1647"/>
      <c r="X23" s="1667"/>
      <c r="Y23" s="1648"/>
      <c r="Z23" s="1649"/>
      <c r="AA23" s="1654">
        <v>0.1</v>
      </c>
      <c r="AB23" s="3650"/>
      <c r="AC23" s="3651"/>
      <c r="AD23" s="1654">
        <v>0</v>
      </c>
      <c r="AE23" s="1659"/>
      <c r="AF23" s="1657"/>
      <c r="AG23" s="1652">
        <f>ROUND(SUM(AA23-AD23),1)</f>
        <v>0.1</v>
      </c>
      <c r="AH23" s="1660"/>
      <c r="AI23" s="1658">
        <f>ROUND(IF(AD23=0,1,AG23/ABS(AD23)),3)</f>
        <v>1</v>
      </c>
    </row>
    <row r="24" spans="1:35" s="1643" customFormat="1" ht="19.350000000000001" customHeight="1">
      <c r="A24" s="190" t="s">
        <v>154</v>
      </c>
      <c r="B24" s="842">
        <v>0</v>
      </c>
      <c r="C24" s="234"/>
      <c r="D24" s="842">
        <v>0</v>
      </c>
      <c r="E24" s="234"/>
      <c r="F24" s="1667">
        <v>0.1</v>
      </c>
      <c r="G24" s="234"/>
      <c r="H24" s="1645">
        <v>0</v>
      </c>
      <c r="I24" s="1647"/>
      <c r="J24" s="1645">
        <v>0</v>
      </c>
      <c r="K24" s="1559"/>
      <c r="L24" s="1645">
        <v>0</v>
      </c>
      <c r="M24" s="1647"/>
      <c r="N24" s="1645">
        <v>0</v>
      </c>
      <c r="O24" s="1647"/>
      <c r="P24" s="1645">
        <v>0.1</v>
      </c>
      <c r="Q24" s="1647"/>
      <c r="R24" s="1645">
        <v>0</v>
      </c>
      <c r="S24" s="1647"/>
      <c r="T24" s="1645">
        <f t="shared" si="0"/>
        <v>0</v>
      </c>
      <c r="U24" s="1647"/>
      <c r="V24" s="1667"/>
      <c r="W24" s="1647"/>
      <c r="X24" s="1667"/>
      <c r="Y24" s="1648"/>
      <c r="Z24" s="1649"/>
      <c r="AA24" s="3658">
        <v>0.2</v>
      </c>
      <c r="AB24" s="3650"/>
      <c r="AC24" s="3651"/>
      <c r="AD24" s="3658">
        <v>9.9999999999999978E-2</v>
      </c>
      <c r="AE24" s="1655"/>
      <c r="AF24" s="1657"/>
      <c r="AG24" s="1652">
        <f>ROUND(SUM(AA24-AD24),1)</f>
        <v>0.1</v>
      </c>
      <c r="AH24" s="1641"/>
      <c r="AI24" s="1653">
        <f>ROUND(IF(AG24=0,0,AG24/ABS(AD24)),3)</f>
        <v>1</v>
      </c>
    </row>
    <row r="25" spans="1:35" s="388" customFormat="1" ht="22.5" customHeight="1">
      <c r="A25" s="246" t="s">
        <v>155</v>
      </c>
      <c r="B25" s="2097">
        <f>ROUND(SUM(B22:B24),1)</f>
        <v>0</v>
      </c>
      <c r="C25" s="379"/>
      <c r="D25" s="2114">
        <f>ROUND(SUM(D22:D24),1)</f>
        <v>0</v>
      </c>
      <c r="E25" s="379"/>
      <c r="F25" s="3649">
        <f>ROUND(SUM(F22:F24),1)</f>
        <v>0.1</v>
      </c>
      <c r="G25" s="379"/>
      <c r="H25" s="855">
        <f>ROUND(SUM(H22:H24),1)</f>
        <v>0.1</v>
      </c>
      <c r="I25" s="838"/>
      <c r="J25" s="2097">
        <f>ROUND(SUM(J22:J24),1)</f>
        <v>0</v>
      </c>
      <c r="K25" s="379"/>
      <c r="L25" s="2097">
        <f>ROUND(SUM(L22:L24),1)</f>
        <v>0.1</v>
      </c>
      <c r="M25" s="838"/>
      <c r="N25" s="1954">
        <f>ROUND(SUM(N22:N24),1)</f>
        <v>0.1</v>
      </c>
      <c r="O25" s="847"/>
      <c r="P25" s="855">
        <f>ROUND(SUM(P22:P24),1)</f>
        <v>0.1</v>
      </c>
      <c r="Q25" s="838"/>
      <c r="R25" s="2097">
        <f>ROUND(SUM(R22:R24),1)</f>
        <v>0.1</v>
      </c>
      <c r="S25" s="838"/>
      <c r="T25" s="2114">
        <f>ROUND(SUM(T22:T24),1)</f>
        <v>0</v>
      </c>
      <c r="U25" s="847"/>
      <c r="V25" s="2097">
        <f>ROUND(SUM(V22:V24),1)</f>
        <v>0</v>
      </c>
      <c r="W25" s="847"/>
      <c r="X25" s="3239">
        <f>ROUND(SUM(X22:X24),1)</f>
        <v>0</v>
      </c>
      <c r="Y25" s="3217"/>
      <c r="Z25" s="3218"/>
      <c r="AA25" s="3240">
        <f>ROUND(SUM(AA22:AA24),1)</f>
        <v>0.6</v>
      </c>
      <c r="AB25" s="3652"/>
      <c r="AC25" s="3653"/>
      <c r="AD25" s="2177">
        <f>ROUND(SUM(AD22:AD24),1)</f>
        <v>0.3</v>
      </c>
      <c r="AE25" s="3240"/>
      <c r="AF25" s="1657"/>
      <c r="AG25" s="3248">
        <f>ROUND(SUM(AG22:AG24),1)</f>
        <v>0.3</v>
      </c>
      <c r="AH25" s="1132"/>
      <c r="AI25" s="1155">
        <f>ROUND(IF(AD25=0,0,AG25/ABS(AD25)),3)</f>
        <v>1</v>
      </c>
    </row>
    <row r="26" spans="1:35" s="388" customFormat="1" ht="19.350000000000001" customHeight="1">
      <c r="A26" s="146"/>
      <c r="B26" s="378"/>
      <c r="C26" s="234"/>
      <c r="D26" s="378" t="s">
        <v>14</v>
      </c>
      <c r="E26" s="234"/>
      <c r="F26" s="2178"/>
      <c r="G26" s="234"/>
      <c r="H26" s="841"/>
      <c r="I26" s="833"/>
      <c r="J26" s="841"/>
      <c r="K26" s="234"/>
      <c r="L26" s="841"/>
      <c r="M26" s="833"/>
      <c r="N26" s="841"/>
      <c r="O26" s="833"/>
      <c r="P26" s="841"/>
      <c r="Q26" s="833"/>
      <c r="R26" s="841"/>
      <c r="S26" s="833"/>
      <c r="T26" s="841"/>
      <c r="U26" s="833"/>
      <c r="V26" s="841"/>
      <c r="W26" s="833"/>
      <c r="X26" s="3237"/>
      <c r="Y26" s="1648"/>
      <c r="Z26" s="1649"/>
      <c r="AA26" s="3654"/>
      <c r="AB26" s="3650"/>
      <c r="AC26" s="3655"/>
      <c r="AD26" s="3237"/>
      <c r="AE26" s="1668"/>
      <c r="AF26" s="1651"/>
      <c r="AG26" s="1668"/>
      <c r="AH26" s="1121"/>
      <c r="AI26" s="1120"/>
    </row>
    <row r="27" spans="1:35" s="388" customFormat="1" ht="19.350000000000001" customHeight="1">
      <c r="A27" s="246" t="s">
        <v>156</v>
      </c>
      <c r="B27" s="234"/>
      <c r="C27" s="234"/>
      <c r="D27" s="238" t="s">
        <v>14</v>
      </c>
      <c r="E27" s="234"/>
      <c r="F27" s="1559"/>
      <c r="G27" s="234"/>
      <c r="H27" s="833"/>
      <c r="I27" s="833"/>
      <c r="J27" s="833"/>
      <c r="K27" s="234"/>
      <c r="L27" s="833"/>
      <c r="M27" s="833"/>
      <c r="N27" s="833"/>
      <c r="O27" s="833"/>
      <c r="P27" s="833"/>
      <c r="Q27" s="833"/>
      <c r="R27" s="833"/>
      <c r="S27" s="833"/>
      <c r="T27" s="833"/>
      <c r="U27" s="833"/>
      <c r="V27" s="833"/>
      <c r="W27" s="833"/>
      <c r="X27" s="1647"/>
      <c r="Y27" s="1648"/>
      <c r="Z27" s="1649"/>
      <c r="AA27" s="3238"/>
      <c r="AB27" s="3650"/>
      <c r="AC27" s="3651"/>
      <c r="AD27" s="1647"/>
      <c r="AE27" s="3238"/>
      <c r="AF27" s="1651"/>
      <c r="AG27" s="1668"/>
      <c r="AH27" s="1121"/>
      <c r="AI27" s="1121"/>
    </row>
    <row r="28" spans="1:35" s="388" customFormat="1" ht="18.75" customHeight="1">
      <c r="A28" s="246" t="s">
        <v>44</v>
      </c>
      <c r="B28" s="845">
        <f>ROUND(B17-B25,1)</f>
        <v>0.1</v>
      </c>
      <c r="C28" s="379"/>
      <c r="D28" s="845">
        <f>ROUND(D17-D25,1)</f>
        <v>0.2</v>
      </c>
      <c r="E28" s="856"/>
      <c r="F28" s="3219">
        <f>ROUND(F17-F25,1)</f>
        <v>1.2</v>
      </c>
      <c r="G28" s="856"/>
      <c r="H28" s="845">
        <f>ROUND(H17-H25,1)</f>
        <v>0.6</v>
      </c>
      <c r="I28" s="857"/>
      <c r="J28" s="845">
        <f>ROUND(J17-J25,1)</f>
        <v>-0.2</v>
      </c>
      <c r="K28" s="856"/>
      <c r="L28" s="845">
        <f>ROUND(L17-L25,1)</f>
        <v>0.5</v>
      </c>
      <c r="M28" s="858"/>
      <c r="N28" s="845">
        <f>ROUND(N17-N25,1)</f>
        <v>1.4</v>
      </c>
      <c r="O28" s="858"/>
      <c r="P28" s="845">
        <f>ROUND(P17-P25,1)</f>
        <v>0.4</v>
      </c>
      <c r="Q28" s="858"/>
      <c r="R28" s="845">
        <f>ROUND(R17-R25,1)</f>
        <v>0.4</v>
      </c>
      <c r="S28" s="858"/>
      <c r="T28" s="845">
        <f>ROUND(T17-T25,1)</f>
        <v>0</v>
      </c>
      <c r="U28" s="858"/>
      <c r="V28" s="845">
        <f>ROUND(V17-V25,1)</f>
        <v>0</v>
      </c>
      <c r="W28" s="858"/>
      <c r="X28" s="3219">
        <f>ROUND(X17-X25,1)</f>
        <v>0</v>
      </c>
      <c r="Y28" s="3217"/>
      <c r="Z28" s="3218"/>
      <c r="AA28" s="3659">
        <f>ROUND(AA17-AA25,1)</f>
        <v>4.5999999999999996</v>
      </c>
      <c r="AB28" s="3652"/>
      <c r="AC28" s="3660"/>
      <c r="AD28" s="3219">
        <f>ROUND(AD17-AD25,1)</f>
        <v>0</v>
      </c>
      <c r="AE28" s="3241"/>
      <c r="AF28" s="1657"/>
      <c r="AG28" s="3185">
        <f>ROUND(SUM(AG17-AG25),1)</f>
        <v>4.5999999999999996</v>
      </c>
      <c r="AH28" s="1132"/>
      <c r="AI28" s="2101">
        <f>ROUND(IF(AD28=0,1,AG28/ABS(AD28)),3)</f>
        <v>1</v>
      </c>
    </row>
    <row r="29" spans="1:35" s="388" customFormat="1" ht="19.350000000000001" customHeight="1">
      <c r="A29" s="146"/>
      <c r="B29" s="238"/>
      <c r="C29" s="234"/>
      <c r="D29" s="238" t="s">
        <v>14</v>
      </c>
      <c r="E29" s="234"/>
      <c r="F29" s="1652"/>
      <c r="G29" s="234"/>
      <c r="H29" s="832"/>
      <c r="I29" s="833"/>
      <c r="J29" s="832"/>
      <c r="K29" s="234"/>
      <c r="L29" s="832"/>
      <c r="M29" s="833"/>
      <c r="N29" s="841"/>
      <c r="O29" s="833"/>
      <c r="P29" s="832"/>
      <c r="Q29" s="833"/>
      <c r="R29" s="832"/>
      <c r="S29" s="833"/>
      <c r="T29" s="832"/>
      <c r="U29" s="833"/>
      <c r="V29" s="832"/>
      <c r="W29" s="833"/>
      <c r="X29" s="3237"/>
      <c r="Y29" s="1648"/>
      <c r="Z29" s="1649"/>
      <c r="AA29" s="1668"/>
      <c r="AB29" s="3650"/>
      <c r="AC29" s="3655"/>
      <c r="AD29" s="1646"/>
      <c r="AE29" s="1668"/>
      <c r="AF29" s="1662"/>
      <c r="AG29" s="1668"/>
      <c r="AH29" s="1121"/>
      <c r="AI29" s="1120"/>
    </row>
    <row r="30" spans="1:35" s="388" customFormat="1" ht="19.350000000000001" customHeight="1">
      <c r="A30" s="246" t="s">
        <v>45</v>
      </c>
      <c r="B30" s="234"/>
      <c r="C30" s="234"/>
      <c r="D30" s="234"/>
      <c r="E30" s="234"/>
      <c r="F30" s="1559"/>
      <c r="G30" s="234"/>
      <c r="H30" s="833"/>
      <c r="I30" s="833"/>
      <c r="J30" s="833"/>
      <c r="K30" s="234"/>
      <c r="L30" s="833"/>
      <c r="M30" s="833"/>
      <c r="N30" s="833"/>
      <c r="O30" s="833"/>
      <c r="P30" s="833"/>
      <c r="Q30" s="833"/>
      <c r="R30" s="833"/>
      <c r="S30" s="833"/>
      <c r="T30" s="833"/>
      <c r="U30" s="833"/>
      <c r="V30" s="833"/>
      <c r="W30" s="833"/>
      <c r="X30" s="1647"/>
      <c r="Y30" s="1648"/>
      <c r="Z30" s="1649"/>
      <c r="AA30" s="3238"/>
      <c r="AB30" s="3650"/>
      <c r="AC30" s="3651"/>
      <c r="AD30" s="1647"/>
      <c r="AE30" s="3238"/>
      <c r="AF30" s="1662"/>
      <c r="AG30" s="1668"/>
      <c r="AH30" s="1121"/>
      <c r="AI30" s="1120"/>
    </row>
    <row r="31" spans="1:35" s="1643" customFormat="1" ht="19.350000000000001" customHeight="1">
      <c r="A31" s="190" t="s">
        <v>180</v>
      </c>
      <c r="B31" s="842">
        <v>0</v>
      </c>
      <c r="C31" s="234"/>
      <c r="D31" s="842">
        <v>0</v>
      </c>
      <c r="E31" s="234"/>
      <c r="F31" s="1667">
        <v>0</v>
      </c>
      <c r="G31" s="234"/>
      <c r="H31" s="1667">
        <v>0</v>
      </c>
      <c r="I31" s="1647"/>
      <c r="J31" s="1667">
        <v>0</v>
      </c>
      <c r="K31" s="1559"/>
      <c r="L31" s="1667">
        <v>0</v>
      </c>
      <c r="M31" s="1647"/>
      <c r="N31" s="1667">
        <v>0</v>
      </c>
      <c r="O31" s="1647"/>
      <c r="P31" s="1667">
        <v>0</v>
      </c>
      <c r="Q31" s="1647"/>
      <c r="R31" s="1667">
        <v>0</v>
      </c>
      <c r="S31" s="1647"/>
      <c r="T31" s="1667">
        <f t="shared" ref="T31:T32" si="1">$AA31-$B31-$D31-$F31-$H31-$J31-$L31-$N31-R31-P31</f>
        <v>0</v>
      </c>
      <c r="U31" s="1647"/>
      <c r="V31" s="1667"/>
      <c r="W31" s="1647"/>
      <c r="X31" s="1667"/>
      <c r="Y31" s="1648"/>
      <c r="Z31" s="1649"/>
      <c r="AA31" s="1654">
        <v>0</v>
      </c>
      <c r="AB31" s="3650"/>
      <c r="AC31" s="3651"/>
      <c r="AD31" s="1654">
        <v>0</v>
      </c>
      <c r="AE31" s="1659"/>
      <c r="AF31" s="1661"/>
      <c r="AG31" s="1652">
        <f>ROUND(SUM(AA31-AD31),1)</f>
        <v>0</v>
      </c>
      <c r="AH31" s="1660"/>
      <c r="AI31" s="1653">
        <f>ROUND(IF(AG31=0,0,AG31/ABS(AD31)),3)</f>
        <v>0</v>
      </c>
    </row>
    <row r="32" spans="1:35" s="1643" customFormat="1" ht="19.350000000000001" customHeight="1">
      <c r="A32" s="190" t="s">
        <v>181</v>
      </c>
      <c r="B32" s="842">
        <v>0</v>
      </c>
      <c r="C32" s="234"/>
      <c r="D32" s="842">
        <v>0</v>
      </c>
      <c r="E32" s="234"/>
      <c r="F32" s="1667">
        <v>0</v>
      </c>
      <c r="G32" s="234"/>
      <c r="H32" s="1645">
        <v>0</v>
      </c>
      <c r="I32" s="1647"/>
      <c r="J32" s="1645">
        <v>0</v>
      </c>
      <c r="K32" s="1559"/>
      <c r="L32" s="1645">
        <v>0</v>
      </c>
      <c r="M32" s="1646"/>
      <c r="N32" s="1667">
        <v>0</v>
      </c>
      <c r="O32" s="1667"/>
      <c r="P32" s="1667">
        <v>0</v>
      </c>
      <c r="Q32" s="1646"/>
      <c r="R32" s="1645">
        <v>0</v>
      </c>
      <c r="S32" s="1646"/>
      <c r="T32" s="1645">
        <f t="shared" si="1"/>
        <v>0</v>
      </c>
      <c r="U32" s="1646"/>
      <c r="V32" s="1667"/>
      <c r="W32" s="1646"/>
      <c r="X32" s="1667"/>
      <c r="Y32" s="1648"/>
      <c r="Z32" s="1649"/>
      <c r="AA32" s="1654">
        <v>0</v>
      </c>
      <c r="AB32" s="3661"/>
      <c r="AC32" s="3662"/>
      <c r="AD32" s="1654">
        <v>0</v>
      </c>
      <c r="AE32" s="1659"/>
      <c r="AF32" s="1662"/>
      <c r="AG32" s="1652">
        <f>ROUND(SUM(AA32-AD32),1)</f>
        <v>0</v>
      </c>
      <c r="AH32" s="1660"/>
      <c r="AI32" s="1653">
        <f>ROUND(IF(AG32=0,0,AG32/ABS(AD32)),3)</f>
        <v>0</v>
      </c>
    </row>
    <row r="33" spans="1:35" s="388" customFormat="1" ht="22.5" customHeight="1">
      <c r="A33" s="246" t="s">
        <v>206</v>
      </c>
      <c r="B33" s="859">
        <f>ROUND(SUM(B31:B32),1)</f>
        <v>0</v>
      </c>
      <c r="C33" s="379"/>
      <c r="D33" s="859">
        <f>ROUND(SUM(D31:D32),1)</f>
        <v>0</v>
      </c>
      <c r="E33" s="379"/>
      <c r="F33" s="3220">
        <f>ROUND(SUM(F31:F32),1)</f>
        <v>0</v>
      </c>
      <c r="G33" s="379"/>
      <c r="H33" s="859">
        <f>ROUND(SUM(H31:H32),1)</f>
        <v>0</v>
      </c>
      <c r="I33" s="838"/>
      <c r="J33" s="859">
        <f>ROUND(SUM(J31:J32),1)</f>
        <v>0</v>
      </c>
      <c r="K33" s="379"/>
      <c r="L33" s="859">
        <f>ROUND(SUM(L31:L32),1)</f>
        <v>0</v>
      </c>
      <c r="M33" s="838"/>
      <c r="N33" s="859">
        <f>ROUND(SUM(N31:N32),1)</f>
        <v>0</v>
      </c>
      <c r="O33" s="838"/>
      <c r="P33" s="859">
        <f>ROUND(SUM(P31:P32),1)</f>
        <v>0</v>
      </c>
      <c r="Q33" s="860"/>
      <c r="R33" s="859">
        <f>ROUND(SUM(R31:R32),1)</f>
        <v>0</v>
      </c>
      <c r="S33" s="838"/>
      <c r="T33" s="859">
        <f>ROUND(SUM(T31:T32),1)</f>
        <v>0</v>
      </c>
      <c r="U33" s="838"/>
      <c r="V33" s="859">
        <f>ROUND(SUM(V31:V32),1)</f>
        <v>0</v>
      </c>
      <c r="W33" s="838"/>
      <c r="X33" s="3220">
        <f>ROUND(SUM(X31:X32),1)</f>
        <v>0</v>
      </c>
      <c r="Y33" s="3217"/>
      <c r="Z33" s="3218"/>
      <c r="AA33" s="3663">
        <f>ROUND(SUM(AA31:AA32),1)</f>
        <v>0</v>
      </c>
      <c r="AB33" s="3664"/>
      <c r="AC33" s="3665"/>
      <c r="AD33" s="3220">
        <f>ROUND(SUM(AD31:AD32),1)</f>
        <v>0</v>
      </c>
      <c r="AE33" s="3249"/>
      <c r="AF33" s="1661"/>
      <c r="AG33" s="3248">
        <f>ROUND(SUM(AG31-AG32),1)</f>
        <v>0</v>
      </c>
      <c r="AH33" s="1139"/>
      <c r="AI33" s="1155">
        <f>ROUND(IF(AG33=0,0,AG33/ABS(AD33)),3)</f>
        <v>0</v>
      </c>
    </row>
    <row r="34" spans="1:35" s="388" customFormat="1" ht="19.350000000000001" customHeight="1">
      <c r="A34" s="146"/>
      <c r="B34" s="378"/>
      <c r="C34" s="234"/>
      <c r="D34" s="378" t="s">
        <v>14</v>
      </c>
      <c r="E34" s="234"/>
      <c r="F34" s="2178"/>
      <c r="G34" s="234"/>
      <c r="H34" s="841"/>
      <c r="I34" s="833"/>
      <c r="J34" s="841"/>
      <c r="K34" s="234"/>
      <c r="L34" s="841"/>
      <c r="M34" s="833"/>
      <c r="N34" s="841"/>
      <c r="O34" s="833"/>
      <c r="P34" s="841"/>
      <c r="Q34" s="833"/>
      <c r="R34" s="841"/>
      <c r="S34" s="833"/>
      <c r="T34" s="841"/>
      <c r="U34" s="833"/>
      <c r="V34" s="841"/>
      <c r="W34" s="833"/>
      <c r="X34" s="3237"/>
      <c r="Y34" s="1648"/>
      <c r="Z34" s="1649"/>
      <c r="AA34" s="3654"/>
      <c r="AB34" s="3650"/>
      <c r="AC34" s="3655"/>
      <c r="AD34" s="3237"/>
      <c r="AE34" s="1668"/>
      <c r="AF34" s="1651"/>
      <c r="AG34" s="1668"/>
      <c r="AH34" s="1121"/>
      <c r="AI34" s="1120"/>
    </row>
    <row r="35" spans="1:35" s="388" customFormat="1" ht="19.350000000000001" customHeight="1">
      <c r="A35" s="246" t="s">
        <v>164</v>
      </c>
      <c r="B35" s="234"/>
      <c r="C35" s="234"/>
      <c r="D35" s="234" t="s">
        <v>14</v>
      </c>
      <c r="E35" s="234"/>
      <c r="F35" s="1559"/>
      <c r="G35" s="234"/>
      <c r="H35" s="833"/>
      <c r="I35" s="833"/>
      <c r="J35" s="833"/>
      <c r="K35" s="234"/>
      <c r="L35" s="833"/>
      <c r="M35" s="833"/>
      <c r="N35" s="833"/>
      <c r="O35" s="833"/>
      <c r="P35" s="833"/>
      <c r="Q35" s="833"/>
      <c r="R35" s="833"/>
      <c r="S35" s="833"/>
      <c r="T35" s="833"/>
      <c r="U35" s="833"/>
      <c r="V35" s="833"/>
      <c r="W35" s="833"/>
      <c r="X35" s="1647"/>
      <c r="Y35" s="1648"/>
      <c r="Z35" s="1649"/>
      <c r="AA35" s="3238"/>
      <c r="AB35" s="3650"/>
      <c r="AC35" s="3651"/>
      <c r="AD35" s="1647"/>
      <c r="AE35" s="3238"/>
      <c r="AF35" s="1651"/>
      <c r="AG35" s="1668"/>
      <c r="AH35" s="1121"/>
      <c r="AI35" s="1120"/>
    </row>
    <row r="36" spans="1:35" s="388" customFormat="1" ht="19.350000000000001" customHeight="1">
      <c r="A36" s="246" t="s">
        <v>225</v>
      </c>
      <c r="B36" s="234"/>
      <c r="C36" s="234"/>
      <c r="D36" s="234"/>
      <c r="E36" s="234"/>
      <c r="F36" s="1559"/>
      <c r="G36" s="234"/>
      <c r="H36" s="833"/>
      <c r="I36" s="833"/>
      <c r="J36" s="833"/>
      <c r="K36" s="234"/>
      <c r="L36" s="833"/>
      <c r="M36" s="833"/>
      <c r="N36" s="833"/>
      <c r="O36" s="833"/>
      <c r="P36" s="833"/>
      <c r="Q36" s="833"/>
      <c r="R36" s="833"/>
      <c r="S36" s="833"/>
      <c r="T36" s="833"/>
      <c r="U36" s="833"/>
      <c r="V36" s="832"/>
      <c r="W36" s="833"/>
      <c r="X36" s="1647"/>
      <c r="Y36" s="1648"/>
      <c r="Z36" s="1649"/>
      <c r="AA36" s="3238"/>
      <c r="AB36" s="3650"/>
      <c r="AC36" s="3651"/>
      <c r="AD36" s="1647"/>
      <c r="AE36" s="3250"/>
      <c r="AF36" s="1689"/>
      <c r="AG36" s="1668"/>
      <c r="AH36" s="1121"/>
      <c r="AI36" s="1121"/>
    </row>
    <row r="37" spans="1:35" s="390" customFormat="1" ht="19.350000000000001" customHeight="1">
      <c r="A37" s="246" t="s">
        <v>166</v>
      </c>
      <c r="B37" s="843">
        <f>ROUND(B28+B33,1)</f>
        <v>0.1</v>
      </c>
      <c r="C37" s="379"/>
      <c r="D37" s="843">
        <f>ROUND(D28+D33,1)</f>
        <v>0.2</v>
      </c>
      <c r="E37" s="381"/>
      <c r="F37" s="1679">
        <f>ROUND(F28+F33,1)</f>
        <v>1.2</v>
      </c>
      <c r="G37" s="381"/>
      <c r="H37" s="843">
        <f>ROUND(H28+H33,1)</f>
        <v>0.6</v>
      </c>
      <c r="I37" s="847"/>
      <c r="J37" s="843">
        <f>ROUND(J28+J33,1)</f>
        <v>-0.2</v>
      </c>
      <c r="K37" s="381"/>
      <c r="L37" s="843">
        <f>ROUND(L28+L33,1)</f>
        <v>0.5</v>
      </c>
      <c r="M37" s="848"/>
      <c r="N37" s="843">
        <f>ROUND(N28+N33,1)</f>
        <v>1.4</v>
      </c>
      <c r="O37" s="848"/>
      <c r="P37" s="843">
        <f>ROUND(P28+P33,1)</f>
        <v>0.4</v>
      </c>
      <c r="Q37" s="848"/>
      <c r="R37" s="843">
        <f>ROUND(R28+R33,1)</f>
        <v>0.4</v>
      </c>
      <c r="S37" s="847"/>
      <c r="T37" s="843">
        <f>ROUND(T28+T33,1)</f>
        <v>0</v>
      </c>
      <c r="U37" s="847"/>
      <c r="V37" s="843">
        <f>ROUND(V28+V33,1)</f>
        <v>0</v>
      </c>
      <c r="W37" s="847"/>
      <c r="X37" s="1679">
        <f>ROUND(X28+X33,1)</f>
        <v>0</v>
      </c>
      <c r="Y37" s="3217"/>
      <c r="Z37" s="3218"/>
      <c r="AA37" s="3241">
        <f>ROUND(AA28+AA33,1)</f>
        <v>4.5999999999999996</v>
      </c>
      <c r="AB37" s="3242"/>
      <c r="AC37" s="3666"/>
      <c r="AD37" s="1679">
        <f>ROUND(AD28+AD33,1)</f>
        <v>0</v>
      </c>
      <c r="AE37" s="3241"/>
      <c r="AF37" s="2184"/>
      <c r="AG37" s="3242">
        <f>ROUND(SUM(AG28+AG33),1)</f>
        <v>4.5999999999999996</v>
      </c>
      <c r="AH37" s="1112"/>
      <c r="AI37" s="2101">
        <f>ROUND(IF(AD37=0,1,AG37/ABS(AD37)),3)</f>
        <v>1</v>
      </c>
    </row>
    <row r="38" spans="1:35" s="388" customFormat="1" ht="22.5" customHeight="1" thickBot="1">
      <c r="A38" s="246" t="s">
        <v>140</v>
      </c>
      <c r="B38" s="849">
        <f>ROUND(SUM(B13,B37),1)</f>
        <v>40.299999999999997</v>
      </c>
      <c r="C38" s="374"/>
      <c r="D38" s="849">
        <f>ROUND(SUM(D13,D37),1)</f>
        <v>40.5</v>
      </c>
      <c r="E38" s="374"/>
      <c r="F38" s="3221">
        <f>ROUND(SUM(F13,F37),1)</f>
        <v>41.7</v>
      </c>
      <c r="G38" s="374"/>
      <c r="H38" s="849">
        <f>ROUND(SUM(H13,H37),1)</f>
        <v>42.3</v>
      </c>
      <c r="I38" s="850"/>
      <c r="J38" s="849">
        <f>ROUND(SUM(J13,J37),1)</f>
        <v>42.1</v>
      </c>
      <c r="K38" s="374"/>
      <c r="L38" s="849">
        <f>ROUND(SUM(L13,L37),1)</f>
        <v>42.6</v>
      </c>
      <c r="M38" s="375"/>
      <c r="N38" s="849">
        <f>ROUND(SUM(N13,N37),1)</f>
        <v>44</v>
      </c>
      <c r="O38" s="375"/>
      <c r="P38" s="849">
        <f>ROUND(SUM(P13,P37),1)</f>
        <v>44.4</v>
      </c>
      <c r="Q38" s="375"/>
      <c r="R38" s="849">
        <f>ROUND(SUM(R13,R37),1)</f>
        <v>44.8</v>
      </c>
      <c r="S38" s="850"/>
      <c r="T38" s="849">
        <f>ROUND(SUM(T13,T37),1)</f>
        <v>44.8</v>
      </c>
      <c r="U38" s="850"/>
      <c r="V38" s="849">
        <f>ROUND(SUM(V13,V37),1)</f>
        <v>0</v>
      </c>
      <c r="W38" s="850"/>
      <c r="X38" s="3221">
        <f>ROUND(SUM(X13,X37),1)</f>
        <v>0</v>
      </c>
      <c r="Y38" s="1636"/>
      <c r="Z38" s="1637"/>
      <c r="AA38" s="3667">
        <f>ROUND(SUM(AA13,AA37),1)</f>
        <v>44.8</v>
      </c>
      <c r="AB38" s="1640"/>
      <c r="AC38" s="3668"/>
      <c r="AD38" s="3251">
        <f>ROUND(SUM(AD13,AD37),1)</f>
        <v>14.3</v>
      </c>
      <c r="AE38" s="1640"/>
      <c r="AF38" s="2186"/>
      <c r="AG38" s="3251">
        <f>ROUND(SUM(AA38-AD38),1)</f>
        <v>30.5</v>
      </c>
      <c r="AH38" s="1138"/>
      <c r="AI38" s="1157">
        <f>ROUND(IF(AG38=0,0,AG38/ABS(AD38)),3)</f>
        <v>2.133</v>
      </c>
    </row>
    <row r="39" spans="1:35" s="388" customFormat="1" ht="19.350000000000001" customHeight="1" thickTop="1">
      <c r="A39" s="146" t="s">
        <v>14</v>
      </c>
      <c r="B39" s="851"/>
      <c r="C39" s="852"/>
      <c r="D39" s="851"/>
      <c r="E39" s="852"/>
      <c r="F39" s="3222"/>
      <c r="G39" s="852"/>
      <c r="H39" s="851"/>
      <c r="I39" s="852"/>
      <c r="J39" s="851"/>
      <c r="K39" s="852"/>
      <c r="L39" s="851"/>
      <c r="M39" s="852"/>
      <c r="N39" s="851"/>
      <c r="O39" s="852"/>
      <c r="P39" s="851"/>
      <c r="Q39" s="852"/>
      <c r="R39" s="851"/>
      <c r="S39" s="852"/>
      <c r="T39" s="851"/>
      <c r="U39" s="852"/>
      <c r="V39" s="851"/>
      <c r="W39" s="852"/>
      <c r="X39" s="3222"/>
      <c r="Y39" s="3224"/>
      <c r="Z39" s="3224"/>
      <c r="AA39" s="3243"/>
      <c r="AB39" s="3244"/>
      <c r="AC39" s="3244"/>
      <c r="AD39" s="3244"/>
      <c r="AE39" s="3244"/>
      <c r="AF39" s="3244"/>
      <c r="AG39" s="3181"/>
      <c r="AH39" s="1121"/>
      <c r="AI39" s="1120"/>
    </row>
    <row r="40" spans="1:35" s="388" customFormat="1" ht="19.350000000000001" customHeight="1">
      <c r="B40" s="56"/>
      <c r="C40" s="162"/>
      <c r="D40" s="56"/>
      <c r="E40" s="56"/>
      <c r="F40" s="56"/>
      <c r="G40" s="56"/>
      <c r="H40" s="56"/>
      <c r="I40" s="56"/>
      <c r="J40" s="56"/>
      <c r="K40" s="56"/>
      <c r="L40" s="56"/>
      <c r="M40" s="56"/>
      <c r="N40" s="56"/>
      <c r="O40" s="56"/>
      <c r="P40" s="56"/>
      <c r="Q40" s="56"/>
      <c r="R40" s="56"/>
      <c r="S40" s="56"/>
      <c r="T40" s="56"/>
      <c r="U40" s="56"/>
      <c r="V40" s="56"/>
      <c r="W40" s="56"/>
      <c r="X40" s="114"/>
      <c r="Y40" s="114"/>
      <c r="Z40" s="114"/>
      <c r="AA40" s="114"/>
      <c r="AB40" s="114"/>
      <c r="AC40" s="114"/>
      <c r="AD40" s="114"/>
      <c r="AE40" s="114"/>
      <c r="AF40" s="114"/>
      <c r="AG40" s="3252"/>
      <c r="AH40" s="392"/>
    </row>
    <row r="41" spans="1:35" ht="15.75" customHeight="1">
      <c r="A41" s="391"/>
      <c r="B41" s="162"/>
      <c r="C41" s="162"/>
      <c r="D41" s="162"/>
      <c r="E41" s="162"/>
      <c r="F41" s="162"/>
      <c r="G41" s="162"/>
      <c r="H41" s="162"/>
      <c r="I41" s="162"/>
      <c r="J41" s="162"/>
      <c r="K41" s="162"/>
      <c r="L41" s="162"/>
      <c r="M41" s="162"/>
      <c r="N41" s="162"/>
      <c r="O41" s="162"/>
      <c r="P41" s="162"/>
      <c r="Q41" s="162"/>
      <c r="R41" s="162"/>
      <c r="S41" s="162"/>
      <c r="T41" s="162"/>
      <c r="U41" s="162"/>
      <c r="V41" s="162"/>
      <c r="W41" s="162"/>
      <c r="X41" s="137"/>
      <c r="Y41" s="137"/>
      <c r="Z41" s="137"/>
      <c r="AA41" s="137"/>
      <c r="AB41" s="137"/>
      <c r="AC41" s="137"/>
      <c r="AD41" s="137"/>
      <c r="AE41" s="137"/>
      <c r="AF41" s="137"/>
      <c r="AG41" s="3253"/>
    </row>
    <row r="42" spans="1:35" ht="15">
      <c r="A42" s="388"/>
    </row>
    <row r="43" spans="1:35" ht="13.5" customHeight="1">
      <c r="A43" s="679"/>
      <c r="B43" s="162"/>
      <c r="C43" s="162"/>
      <c r="D43" s="162"/>
      <c r="E43" s="162"/>
      <c r="F43" s="162"/>
      <c r="G43" s="162"/>
      <c r="H43" s="162"/>
      <c r="I43" s="162"/>
      <c r="J43" s="162"/>
      <c r="K43" s="162"/>
      <c r="L43" s="162"/>
      <c r="M43" s="162"/>
      <c r="N43" s="162"/>
      <c r="O43" s="162"/>
      <c r="P43" s="162"/>
      <c r="Q43" s="162"/>
      <c r="R43" s="162"/>
      <c r="S43" s="162"/>
      <c r="T43" s="162"/>
      <c r="U43" s="162"/>
      <c r="V43" s="162"/>
      <c r="W43" s="162"/>
      <c r="X43" s="137"/>
      <c r="Y43" s="137"/>
      <c r="Z43" s="137"/>
      <c r="AA43" s="137"/>
      <c r="AB43" s="137"/>
      <c r="AC43" s="137"/>
      <c r="AD43" s="137"/>
      <c r="AE43" s="137"/>
      <c r="AF43" s="137"/>
      <c r="AG43" s="3253"/>
    </row>
    <row r="44" spans="1:35" ht="15">
      <c r="A44" s="28"/>
      <c r="B44" s="162"/>
      <c r="C44" s="162"/>
      <c r="D44" s="162"/>
      <c r="E44" s="162"/>
      <c r="F44" s="162"/>
      <c r="G44" s="162"/>
      <c r="H44" s="162"/>
      <c r="I44" s="162"/>
      <c r="J44" s="162"/>
      <c r="K44" s="162"/>
      <c r="L44" s="162"/>
      <c r="M44" s="162"/>
      <c r="N44" s="162"/>
      <c r="O44" s="162"/>
      <c r="P44" s="162"/>
      <c r="Q44" s="162"/>
      <c r="R44" s="162"/>
      <c r="S44" s="162"/>
      <c r="T44" s="162"/>
      <c r="U44" s="162"/>
      <c r="V44" s="162"/>
      <c r="W44" s="162"/>
      <c r="X44" s="137"/>
      <c r="Y44" s="137"/>
      <c r="Z44" s="137"/>
      <c r="AA44" s="137"/>
      <c r="AB44" s="137"/>
      <c r="AC44" s="137"/>
      <c r="AD44" s="137"/>
      <c r="AE44" s="137"/>
      <c r="AF44" s="137"/>
      <c r="AG44" s="3253"/>
    </row>
    <row r="45" spans="1:35" ht="15">
      <c r="A45" s="28"/>
      <c r="B45" s="162"/>
      <c r="C45" s="162"/>
      <c r="D45" s="162"/>
      <c r="E45" s="162"/>
      <c r="F45" s="162"/>
      <c r="G45" s="162"/>
      <c r="H45" s="162"/>
      <c r="I45" s="162"/>
      <c r="J45" s="162"/>
      <c r="K45" s="162"/>
      <c r="L45" s="162"/>
      <c r="M45" s="162"/>
      <c r="N45" s="162"/>
      <c r="O45" s="162"/>
      <c r="P45" s="162"/>
      <c r="Q45" s="162"/>
      <c r="R45" s="162"/>
      <c r="S45" s="162"/>
      <c r="T45" s="162"/>
      <c r="U45" s="162"/>
      <c r="V45" s="162"/>
      <c r="W45" s="162"/>
      <c r="X45" s="137"/>
      <c r="Y45" s="137"/>
      <c r="Z45" s="137"/>
      <c r="AA45" s="137"/>
      <c r="AB45" s="137"/>
      <c r="AC45" s="137"/>
      <c r="AD45" s="137"/>
      <c r="AE45" s="137"/>
      <c r="AF45" s="137"/>
    </row>
    <row r="46" spans="1:35" ht="15">
      <c r="A46" s="28"/>
      <c r="B46" s="162"/>
      <c r="C46" s="162"/>
      <c r="D46" s="162"/>
      <c r="E46" s="162"/>
      <c r="F46" s="162"/>
      <c r="G46" s="162"/>
      <c r="H46" s="162"/>
      <c r="I46" s="162"/>
      <c r="J46" s="162"/>
      <c r="K46" s="162"/>
      <c r="L46" s="162"/>
      <c r="M46" s="162"/>
      <c r="N46" s="162"/>
      <c r="O46" s="162"/>
      <c r="P46" s="162"/>
      <c r="Q46" s="162"/>
      <c r="R46" s="162"/>
      <c r="S46" s="162"/>
      <c r="T46" s="162"/>
      <c r="U46" s="162"/>
      <c r="V46" s="162"/>
      <c r="W46" s="162"/>
      <c r="X46" s="137"/>
      <c r="Y46" s="137"/>
      <c r="Z46" s="137"/>
      <c r="AA46" s="137"/>
      <c r="AB46" s="137"/>
      <c r="AC46" s="137"/>
      <c r="AD46" s="137"/>
      <c r="AE46" s="137"/>
      <c r="AF46" s="137"/>
    </row>
    <row r="47" spans="1:35" ht="15">
      <c r="A47" s="28"/>
      <c r="B47" s="28"/>
      <c r="C47" s="28"/>
      <c r="D47" s="28"/>
      <c r="E47" s="28"/>
      <c r="F47" s="28"/>
      <c r="G47" s="28"/>
      <c r="H47" s="28"/>
      <c r="I47" s="28"/>
      <c r="J47" s="28"/>
      <c r="K47" s="28"/>
      <c r="L47" s="28"/>
      <c r="M47" s="28"/>
      <c r="N47" s="28"/>
      <c r="O47" s="28"/>
      <c r="P47" s="28"/>
      <c r="Q47" s="28"/>
      <c r="R47" s="28"/>
      <c r="S47" s="28"/>
      <c r="T47" s="28"/>
      <c r="U47" s="28"/>
      <c r="V47" s="28"/>
      <c r="W47" s="28"/>
      <c r="X47" s="104"/>
      <c r="Y47" s="104"/>
      <c r="Z47" s="104"/>
      <c r="AA47" s="104"/>
      <c r="AB47" s="104"/>
      <c r="AC47" s="104"/>
      <c r="AD47" s="104"/>
      <c r="AE47" s="104"/>
      <c r="AF47" s="104"/>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2"/>
  <sheetViews>
    <sheetView showGridLines="0" zoomScale="90" zoomScaleNormal="115" workbookViewId="0"/>
  </sheetViews>
  <sheetFormatPr defaultColWidth="8.81640625" defaultRowHeight="15.6"/>
  <cols>
    <col min="1" max="1" width="56.81640625" style="720" customWidth="1"/>
    <col min="2" max="2" width="2.08984375" style="720" customWidth="1"/>
    <col min="3" max="3" width="19" style="719" customWidth="1"/>
    <col min="4" max="4" width="1.81640625" style="720" customWidth="1"/>
    <col min="5" max="5" width="16.453125" style="720" customWidth="1"/>
    <col min="6" max="6" width="1.54296875" style="720" customWidth="1"/>
    <col min="7" max="7" width="16.54296875" style="720" customWidth="1"/>
    <col min="8" max="8" width="1.54296875" style="720" customWidth="1"/>
    <col min="9" max="9" width="17.81640625" style="720" customWidth="1"/>
    <col min="10" max="10" width="1.54296875" style="720" customWidth="1"/>
    <col min="11" max="11" width="20.08984375" style="720" customWidth="1"/>
    <col min="12" max="12" width="6.08984375" style="2194" customWidth="1"/>
    <col min="13" max="13" width="2.54296875" style="2194" customWidth="1"/>
    <col min="14" max="14" width="11" style="2194" bestFit="1" customWidth="1"/>
    <col min="15" max="15" width="20.81640625" style="720" customWidth="1"/>
    <col min="16" max="16384" width="8.81640625" style="720"/>
  </cols>
  <sheetData>
    <row r="1" spans="1:15">
      <c r="A1" s="1484" t="s">
        <v>881</v>
      </c>
    </row>
    <row r="2" spans="1:15">
      <c r="A2" s="2958"/>
    </row>
    <row r="3" spans="1:15" ht="17.399999999999999">
      <c r="A3" s="2959" t="s">
        <v>0</v>
      </c>
      <c r="B3" s="762"/>
      <c r="C3" s="762"/>
      <c r="D3" s="762"/>
      <c r="E3" s="762"/>
      <c r="F3" s="762"/>
      <c r="G3" s="762"/>
      <c r="H3" s="762"/>
      <c r="I3" s="762"/>
      <c r="J3" s="762"/>
      <c r="K3" s="2960" t="s">
        <v>229</v>
      </c>
      <c r="L3" s="2961"/>
    </row>
    <row r="4" spans="1:15" ht="17.399999999999999">
      <c r="A4" s="2959" t="s">
        <v>228</v>
      </c>
      <c r="B4" s="762"/>
      <c r="C4" s="762" t="s">
        <v>14</v>
      </c>
      <c r="D4" s="762"/>
      <c r="E4" s="762"/>
      <c r="F4" s="762"/>
      <c r="G4" s="762"/>
      <c r="H4" s="762"/>
      <c r="I4" s="762"/>
      <c r="J4" s="762"/>
      <c r="L4" s="2962"/>
    </row>
    <row r="5" spans="1:15" ht="17.399999999999999">
      <c r="A5" s="2959" t="s">
        <v>1175</v>
      </c>
      <c r="B5" s="762"/>
      <c r="C5" s="762"/>
      <c r="D5" s="762"/>
      <c r="E5" s="762"/>
      <c r="F5" s="762"/>
      <c r="G5" s="762"/>
      <c r="H5" s="762"/>
      <c r="I5" s="762"/>
      <c r="J5" s="762"/>
      <c r="K5" s="2963"/>
      <c r="L5" s="2964"/>
    </row>
    <row r="6" spans="1:15" ht="17.399999999999999">
      <c r="A6" s="2965" t="s">
        <v>230</v>
      </c>
      <c r="B6" s="762"/>
      <c r="C6" s="762"/>
      <c r="D6" s="762"/>
      <c r="E6" s="762"/>
      <c r="F6" s="762"/>
      <c r="G6" s="762"/>
      <c r="H6" s="762"/>
      <c r="I6" s="762"/>
      <c r="J6" s="762"/>
      <c r="K6" s="431"/>
      <c r="L6" s="2966"/>
    </row>
    <row r="7" spans="1:15" ht="17.399999999999999">
      <c r="A7" s="2965" t="s">
        <v>1375</v>
      </c>
      <c r="B7" s="762"/>
      <c r="C7" s="762"/>
      <c r="D7" s="762"/>
      <c r="E7" s="762"/>
      <c r="F7" s="762"/>
      <c r="G7" s="762"/>
      <c r="H7" s="762"/>
      <c r="I7" s="762"/>
      <c r="J7" s="762"/>
      <c r="K7" s="431"/>
      <c r="L7" s="2966"/>
    </row>
    <row r="8" spans="1:15" ht="17.399999999999999">
      <c r="A8" s="2965" t="s">
        <v>1576</v>
      </c>
      <c r="B8" s="762"/>
      <c r="C8" s="762"/>
      <c r="D8" s="762"/>
      <c r="E8" s="762" t="s">
        <v>14</v>
      </c>
      <c r="F8" s="762"/>
      <c r="G8" s="762"/>
      <c r="H8" s="762"/>
      <c r="I8" s="762"/>
      <c r="J8" s="762"/>
      <c r="K8" s="762"/>
      <c r="L8" s="2961"/>
    </row>
    <row r="9" spans="1:15" ht="17.399999999999999">
      <c r="A9" s="2959" t="s">
        <v>1267</v>
      </c>
      <c r="B9" s="2967" t="s">
        <v>231</v>
      </c>
      <c r="C9" s="715"/>
      <c r="D9" s="715"/>
      <c r="E9" s="715"/>
      <c r="F9" s="715"/>
      <c r="G9" s="715"/>
      <c r="H9" s="715"/>
      <c r="I9" s="715"/>
      <c r="J9" s="715"/>
      <c r="K9" s="715"/>
      <c r="L9" s="717"/>
    </row>
    <row r="10" spans="1:15">
      <c r="A10" s="715"/>
      <c r="B10" s="715"/>
      <c r="C10" s="428" t="s">
        <v>232</v>
      </c>
      <c r="D10" s="432"/>
      <c r="E10" s="432"/>
      <c r="F10" s="432"/>
      <c r="G10" s="434"/>
      <c r="H10" s="432"/>
      <c r="I10" s="2189" t="s">
        <v>233</v>
      </c>
      <c r="J10" s="432"/>
      <c r="K10" s="2189" t="s">
        <v>232</v>
      </c>
      <c r="L10" s="2189"/>
    </row>
    <row r="11" spans="1:15">
      <c r="A11" s="715"/>
      <c r="B11" s="715"/>
      <c r="C11" s="3380" t="s">
        <v>1573</v>
      </c>
      <c r="D11" s="432"/>
      <c r="E11" s="2190" t="s">
        <v>234</v>
      </c>
      <c r="F11" s="434"/>
      <c r="G11" s="2191" t="s">
        <v>235</v>
      </c>
      <c r="H11" s="434"/>
      <c r="I11" s="2191" t="s">
        <v>236</v>
      </c>
      <c r="J11" s="434"/>
      <c r="K11" s="2968" t="s">
        <v>1574</v>
      </c>
      <c r="L11" s="2192"/>
    </row>
    <row r="12" spans="1:15">
      <c r="A12" s="715"/>
      <c r="B12" s="715"/>
      <c r="C12" s="2192"/>
      <c r="D12" s="432"/>
      <c r="E12" s="2189"/>
      <c r="F12" s="434"/>
      <c r="G12" s="2189"/>
      <c r="H12" s="434"/>
      <c r="I12" s="2189"/>
      <c r="J12" s="434"/>
      <c r="K12" s="2969"/>
      <c r="L12" s="2192"/>
    </row>
    <row r="13" spans="1:15">
      <c r="A13" s="429" t="s">
        <v>145</v>
      </c>
      <c r="B13" s="715"/>
      <c r="C13" s="717"/>
      <c r="D13" s="715"/>
      <c r="E13" s="1698"/>
      <c r="F13" s="715"/>
      <c r="G13" s="714"/>
      <c r="H13" s="715"/>
      <c r="I13" s="714"/>
      <c r="J13" s="715"/>
      <c r="K13" s="717"/>
      <c r="L13" s="717"/>
    </row>
    <row r="14" spans="1:15">
      <c r="A14" s="715" t="s">
        <v>237</v>
      </c>
      <c r="B14" s="1698"/>
      <c r="C14" s="1665">
        <v>0</v>
      </c>
      <c r="D14" s="1666"/>
      <c r="E14" s="1665">
        <v>8.0000000000000002E-3</v>
      </c>
      <c r="F14" s="1666"/>
      <c r="G14" s="1665">
        <v>2832.5209999999997</v>
      </c>
      <c r="H14" s="1666"/>
      <c r="I14" s="1665">
        <v>2832.5129999999999</v>
      </c>
      <c r="J14" s="1698"/>
      <c r="K14" s="778">
        <f>ROUND(SUM(C14)+SUM(E14)-SUM(G14)+SUM(I14),3)</f>
        <v>0</v>
      </c>
      <c r="L14" s="2107"/>
      <c r="O14" s="3861"/>
    </row>
    <row r="15" spans="1:15">
      <c r="A15" s="715" t="s">
        <v>238</v>
      </c>
      <c r="B15" s="715"/>
      <c r="C15" s="1669">
        <v>30632.605</v>
      </c>
      <c r="D15" s="1666"/>
      <c r="E15" s="1669">
        <v>4727.4350000000004</v>
      </c>
      <c r="F15" s="1666"/>
      <c r="G15" s="1669">
        <v>1535.24</v>
      </c>
      <c r="H15" s="1666"/>
      <c r="I15" s="1669">
        <v>-1844.249</v>
      </c>
      <c r="J15" s="1698"/>
      <c r="K15" s="633">
        <f t="shared" ref="K15:K23" si="0">ROUND(SUM(C15)+SUM(E15)-SUM(G15)+SUM(I15),3)</f>
        <v>31980.550999999999</v>
      </c>
      <c r="L15" s="2113"/>
      <c r="M15" s="2110"/>
      <c r="N15" s="2110"/>
      <c r="O15" s="3861"/>
    </row>
    <row r="16" spans="1:15">
      <c r="A16" s="716" t="s">
        <v>239</v>
      </c>
      <c r="B16" s="715"/>
      <c r="C16" s="1669">
        <v>0</v>
      </c>
      <c r="D16" s="1666"/>
      <c r="E16" s="1669">
        <v>0</v>
      </c>
      <c r="F16" s="1666"/>
      <c r="G16" s="1669">
        <v>0</v>
      </c>
      <c r="H16" s="1666"/>
      <c r="I16" s="1669">
        <v>0</v>
      </c>
      <c r="J16" s="1698"/>
      <c r="K16" s="633">
        <f t="shared" si="0"/>
        <v>0</v>
      </c>
      <c r="L16" s="2113"/>
      <c r="M16" s="2110"/>
      <c r="N16" s="2110"/>
      <c r="O16" s="3861"/>
    </row>
    <row r="17" spans="1:15">
      <c r="A17" s="715" t="s">
        <v>240</v>
      </c>
      <c r="B17" s="715"/>
      <c r="C17" s="1669">
        <v>0</v>
      </c>
      <c r="D17" s="1666"/>
      <c r="E17" s="1669">
        <v>0</v>
      </c>
      <c r="F17" s="1666"/>
      <c r="G17" s="1669">
        <v>0</v>
      </c>
      <c r="H17" s="1666"/>
      <c r="I17" s="1669">
        <v>0</v>
      </c>
      <c r="J17" s="1698"/>
      <c r="K17" s="633">
        <f t="shared" si="0"/>
        <v>0</v>
      </c>
      <c r="L17" s="2113"/>
      <c r="M17" s="2110"/>
      <c r="N17" s="2110"/>
      <c r="O17" s="3861"/>
    </row>
    <row r="18" spans="1:15">
      <c r="A18" s="715" t="s">
        <v>241</v>
      </c>
      <c r="B18" s="715"/>
      <c r="C18" s="1669">
        <v>0</v>
      </c>
      <c r="D18" s="1666"/>
      <c r="E18" s="1669">
        <v>0</v>
      </c>
      <c r="F18" s="1666"/>
      <c r="G18" s="1669">
        <v>0</v>
      </c>
      <c r="H18" s="1666"/>
      <c r="I18" s="1669">
        <v>0</v>
      </c>
      <c r="J18" s="1698"/>
      <c r="K18" s="633">
        <f t="shared" si="0"/>
        <v>0</v>
      </c>
      <c r="L18" s="2113"/>
      <c r="M18" s="2110"/>
      <c r="N18" s="2110"/>
      <c r="O18" s="3861"/>
    </row>
    <row r="19" spans="1:15">
      <c r="A19" s="715" t="s">
        <v>242</v>
      </c>
      <c r="B19" s="715"/>
      <c r="C19" s="1669">
        <v>27.064</v>
      </c>
      <c r="D19" s="1666"/>
      <c r="E19" s="1669">
        <v>0</v>
      </c>
      <c r="F19" s="1666"/>
      <c r="G19" s="1669">
        <v>0.105</v>
      </c>
      <c r="H19" s="1666"/>
      <c r="I19" s="1669">
        <v>0</v>
      </c>
      <c r="J19" s="1698"/>
      <c r="K19" s="633">
        <f t="shared" si="0"/>
        <v>26.959</v>
      </c>
      <c r="L19" s="718"/>
      <c r="M19" s="2110"/>
      <c r="N19" s="2110"/>
      <c r="O19" s="3861"/>
    </row>
    <row r="20" spans="1:15">
      <c r="A20" s="715" t="s">
        <v>243</v>
      </c>
      <c r="B20" s="715"/>
      <c r="C20" s="1669">
        <v>0</v>
      </c>
      <c r="D20" s="1666"/>
      <c r="E20" s="1669">
        <v>0</v>
      </c>
      <c r="F20" s="1666"/>
      <c r="G20" s="1669">
        <v>0</v>
      </c>
      <c r="H20" s="1666"/>
      <c r="I20" s="1669">
        <v>0</v>
      </c>
      <c r="J20" s="1698"/>
      <c r="K20" s="633">
        <f t="shared" si="0"/>
        <v>0</v>
      </c>
      <c r="L20" s="2113"/>
      <c r="M20" s="2110"/>
      <c r="N20" s="2110"/>
      <c r="O20" s="3861"/>
    </row>
    <row r="21" spans="1:15">
      <c r="A21" s="716" t="s">
        <v>244</v>
      </c>
      <c r="B21" s="717"/>
      <c r="C21" s="1669">
        <v>0</v>
      </c>
      <c r="D21" s="1666"/>
      <c r="E21" s="1669">
        <v>0</v>
      </c>
      <c r="F21" s="1666"/>
      <c r="G21" s="1669">
        <v>0</v>
      </c>
      <c r="H21" s="1666"/>
      <c r="I21" s="1669">
        <v>0</v>
      </c>
      <c r="J21" s="1698"/>
      <c r="K21" s="633">
        <f t="shared" si="0"/>
        <v>0</v>
      </c>
      <c r="L21" s="2113"/>
      <c r="M21" s="2110"/>
      <c r="N21" s="2110"/>
      <c r="O21" s="3861"/>
    </row>
    <row r="22" spans="1:15">
      <c r="A22" s="716" t="s">
        <v>245</v>
      </c>
      <c r="B22" s="715"/>
      <c r="C22" s="1669">
        <v>0</v>
      </c>
      <c r="D22" s="1666"/>
      <c r="E22" s="1669">
        <v>0</v>
      </c>
      <c r="F22" s="1666"/>
      <c r="G22" s="1669">
        <v>0</v>
      </c>
      <c r="H22" s="1666"/>
      <c r="I22" s="1669">
        <v>0</v>
      </c>
      <c r="J22" s="1698"/>
      <c r="K22" s="633">
        <f t="shared" si="0"/>
        <v>0</v>
      </c>
      <c r="L22" s="2113"/>
      <c r="M22" s="2110"/>
      <c r="N22" s="2110"/>
      <c r="O22" s="3861"/>
    </row>
    <row r="23" spans="1:15">
      <c r="A23" s="716" t="s">
        <v>246</v>
      </c>
      <c r="B23" s="715"/>
      <c r="C23" s="1669">
        <v>0</v>
      </c>
      <c r="D23" s="1666"/>
      <c r="E23" s="1669">
        <v>0</v>
      </c>
      <c r="F23" s="1666"/>
      <c r="G23" s="1669">
        <v>0</v>
      </c>
      <c r="H23" s="1666"/>
      <c r="I23" s="1669">
        <v>0</v>
      </c>
      <c r="J23" s="1698"/>
      <c r="K23" s="633">
        <f t="shared" si="0"/>
        <v>0</v>
      </c>
      <c r="L23" s="2113"/>
      <c r="M23" s="2110"/>
      <c r="O23" s="3861"/>
    </row>
    <row r="24" spans="1:15" ht="22.5" customHeight="1">
      <c r="A24" s="426" t="s">
        <v>247</v>
      </c>
      <c r="B24" s="715"/>
      <c r="C24" s="427">
        <f>ROUND(SUM(C14:C23),3)</f>
        <v>30659.669000000002</v>
      </c>
      <c r="D24" s="428"/>
      <c r="E24" s="427">
        <f>ROUND(SUM(E14:E23),3)</f>
        <v>4727.4430000000002</v>
      </c>
      <c r="F24" s="428"/>
      <c r="G24" s="427">
        <f>ROUND(SUM(G14:G23),3)</f>
        <v>4367.866</v>
      </c>
      <c r="H24" s="428"/>
      <c r="I24" s="427">
        <f>ROUND(SUM(I14:I23),3)</f>
        <v>988.26400000000001</v>
      </c>
      <c r="J24" s="428"/>
      <c r="K24" s="427">
        <f>ROUND(SUM(K14:K23),3)</f>
        <v>32007.51</v>
      </c>
      <c r="L24" s="2970"/>
      <c r="M24" s="2110"/>
      <c r="N24" s="2110"/>
      <c r="O24" s="3861"/>
    </row>
    <row r="25" spans="1:15" ht="8.25" customHeight="1">
      <c r="A25" s="426"/>
      <c r="B25" s="715"/>
      <c r="C25" s="714"/>
      <c r="D25" s="633"/>
      <c r="E25" s="714"/>
      <c r="F25" s="633"/>
      <c r="G25" s="714"/>
      <c r="H25" s="633"/>
      <c r="I25" s="714"/>
      <c r="J25" s="633"/>
      <c r="K25" s="714"/>
      <c r="L25" s="714"/>
      <c r="M25" s="2110"/>
      <c r="N25" s="2110"/>
      <c r="O25" s="3861"/>
    </row>
    <row r="26" spans="1:15">
      <c r="A26" s="716"/>
      <c r="B26" s="715"/>
      <c r="C26" s="717"/>
      <c r="D26" s="715"/>
      <c r="E26" s="717"/>
      <c r="F26" s="672"/>
      <c r="G26" s="717"/>
      <c r="H26" s="672"/>
      <c r="I26" s="717"/>
      <c r="J26" s="715"/>
      <c r="K26" s="718"/>
      <c r="L26" s="718"/>
      <c r="M26" s="2110"/>
      <c r="N26" s="2110"/>
      <c r="O26" s="3861"/>
    </row>
    <row r="27" spans="1:15">
      <c r="A27" s="429" t="s">
        <v>796</v>
      </c>
      <c r="B27" s="715"/>
      <c r="C27" s="715"/>
      <c r="D27" s="715"/>
      <c r="E27" s="715"/>
      <c r="F27" s="672"/>
      <c r="G27" s="715"/>
      <c r="H27" s="672"/>
      <c r="I27" s="715"/>
      <c r="J27" s="715"/>
      <c r="K27" s="715"/>
      <c r="L27" s="717"/>
      <c r="M27" s="2110"/>
      <c r="N27" s="2110"/>
      <c r="O27" s="3861"/>
    </row>
    <row r="28" spans="1:15">
      <c r="A28" s="716" t="s">
        <v>248</v>
      </c>
      <c r="B28" s="715"/>
      <c r="C28" s="1669">
        <v>0.82499999999999996</v>
      </c>
      <c r="D28" s="1666"/>
      <c r="E28" s="1669">
        <v>3.0000000000000001E-3</v>
      </c>
      <c r="F28" s="1666"/>
      <c r="G28" s="1669">
        <v>1.2E-2</v>
      </c>
      <c r="H28" s="1666"/>
      <c r="I28" s="1669">
        <v>0</v>
      </c>
      <c r="J28" s="1698"/>
      <c r="K28" s="633">
        <f t="shared" ref="K28:K33" si="1">ROUND(SUM(C28)+SUM(E28)-SUM(G28)+SUM(I28),3)</f>
        <v>0.81599999999999995</v>
      </c>
      <c r="L28" s="3043"/>
      <c r="M28" s="2110"/>
      <c r="O28" s="3861"/>
    </row>
    <row r="29" spans="1:15">
      <c r="A29" s="716" t="s">
        <v>249</v>
      </c>
      <c r="B29" s="715"/>
      <c r="C29" s="1669">
        <v>62.523000000000003</v>
      </c>
      <c r="D29" s="1666"/>
      <c r="E29" s="1669">
        <v>0.27300000000000002</v>
      </c>
      <c r="F29" s="1666"/>
      <c r="G29" s="1669">
        <v>0.70399999999999996</v>
      </c>
      <c r="H29" s="1666"/>
      <c r="I29" s="1669">
        <v>0</v>
      </c>
      <c r="J29" s="1698"/>
      <c r="K29" s="633">
        <f t="shared" si="1"/>
        <v>62.091999999999999</v>
      </c>
      <c r="L29" s="3043"/>
      <c r="M29" s="2110"/>
      <c r="N29" s="2110"/>
      <c r="O29" s="3861"/>
    </row>
    <row r="30" spans="1:15">
      <c r="A30" s="715" t="s">
        <v>250</v>
      </c>
      <c r="B30" s="2967" t="s">
        <v>231</v>
      </c>
      <c r="C30" s="1669">
        <v>120.471</v>
      </c>
      <c r="D30" s="1666"/>
      <c r="E30" s="1669">
        <v>2.9</v>
      </c>
      <c r="F30" s="1666"/>
      <c r="G30" s="1669">
        <v>4.359</v>
      </c>
      <c r="H30" s="1666"/>
      <c r="I30" s="1669">
        <v>0</v>
      </c>
      <c r="J30" s="1698"/>
      <c r="K30" s="633">
        <f t="shared" si="1"/>
        <v>119.012</v>
      </c>
      <c r="L30" s="3043"/>
      <c r="M30" s="2110"/>
      <c r="N30" s="2110"/>
      <c r="O30" s="3861"/>
    </row>
    <row r="31" spans="1:15">
      <c r="A31" s="716" t="s">
        <v>251</v>
      </c>
      <c r="B31" s="2967"/>
      <c r="C31" s="1669">
        <v>-4.4999999999999998E-2</v>
      </c>
      <c r="D31" s="1666"/>
      <c r="E31" s="1669">
        <v>0.2</v>
      </c>
      <c r="F31" s="1666"/>
      <c r="G31" s="1669">
        <v>3.6999999999999998E-2</v>
      </c>
      <c r="H31" s="1666"/>
      <c r="I31" s="1669">
        <v>0</v>
      </c>
      <c r="J31" s="1698"/>
      <c r="K31" s="633">
        <f t="shared" si="1"/>
        <v>0.11799999999999999</v>
      </c>
      <c r="L31" s="3043"/>
      <c r="M31" s="2110"/>
      <c r="N31" s="2110"/>
      <c r="O31" s="3861"/>
    </row>
    <row r="32" spans="1:15">
      <c r="A32" s="716" t="s">
        <v>252</v>
      </c>
      <c r="B32" s="2967"/>
      <c r="C32" s="1669">
        <v>0.40200000000000002</v>
      </c>
      <c r="D32" s="1666"/>
      <c r="E32" s="1669">
        <v>3.0000000000000001E-3</v>
      </c>
      <c r="F32" s="1666"/>
      <c r="G32" s="1669">
        <v>4.3999999999999997E-2</v>
      </c>
      <c r="H32" s="1666"/>
      <c r="I32" s="1669">
        <v>0</v>
      </c>
      <c r="J32" s="1698"/>
      <c r="K32" s="633">
        <f t="shared" si="1"/>
        <v>0.36099999999999999</v>
      </c>
      <c r="L32" s="3043"/>
      <c r="M32" s="2110"/>
      <c r="N32" s="2110"/>
      <c r="O32" s="3861"/>
    </row>
    <row r="33" spans="1:15">
      <c r="A33" s="715" t="s">
        <v>253</v>
      </c>
      <c r="B33" s="715"/>
      <c r="C33" s="1669">
        <v>8.9710000000000001</v>
      </c>
      <c r="D33" s="1666"/>
      <c r="E33" s="1669">
        <v>0.16200000000000001</v>
      </c>
      <c r="F33" s="1666"/>
      <c r="G33" s="1669">
        <v>0.253</v>
      </c>
      <c r="H33" s="1666"/>
      <c r="I33" s="1669">
        <v>0</v>
      </c>
      <c r="J33" s="1698"/>
      <c r="K33" s="633">
        <f t="shared" si="1"/>
        <v>8.8800000000000008</v>
      </c>
      <c r="L33" s="3043"/>
      <c r="M33" s="2110"/>
      <c r="N33" s="2110"/>
      <c r="O33" s="3861"/>
    </row>
    <row r="34" spans="1:15">
      <c r="A34" s="715" t="s">
        <v>254</v>
      </c>
      <c r="B34" s="715"/>
      <c r="C34" s="3381"/>
      <c r="D34" s="1696"/>
      <c r="E34" s="1697"/>
      <c r="F34" s="1697"/>
      <c r="G34" s="1697"/>
      <c r="H34" s="1697"/>
      <c r="I34" s="1697"/>
      <c r="J34" s="430"/>
      <c r="K34" s="1483"/>
      <c r="L34" s="2109"/>
      <c r="M34" s="2110"/>
      <c r="N34" s="2110"/>
      <c r="O34" s="3861"/>
    </row>
    <row r="35" spans="1:15">
      <c r="A35" s="715" t="s">
        <v>255</v>
      </c>
      <c r="B35" s="715"/>
      <c r="C35" s="1669">
        <v>8.2940000000000005</v>
      </c>
      <c r="D35" s="1666"/>
      <c r="E35" s="1669">
        <v>0.74199999999999999</v>
      </c>
      <c r="F35" s="1666"/>
      <c r="G35" s="1669">
        <v>0.51400000000000001</v>
      </c>
      <c r="H35" s="1666"/>
      <c r="I35" s="1669">
        <v>0</v>
      </c>
      <c r="J35" s="1698"/>
      <c r="K35" s="633">
        <f t="shared" ref="K35:K60" si="2">ROUND(SUM(C35)+SUM(E35)-SUM(G35)+SUM(I35),3)</f>
        <v>8.5220000000000002</v>
      </c>
      <c r="L35" s="2108"/>
      <c r="M35" s="2110"/>
      <c r="N35" s="2110"/>
      <c r="O35" s="3861"/>
    </row>
    <row r="36" spans="1:15">
      <c r="A36" s="715" t="s">
        <v>256</v>
      </c>
      <c r="B36" s="715"/>
      <c r="C36" s="1669">
        <v>0.502</v>
      </c>
      <c r="D36" s="1666"/>
      <c r="E36" s="1669">
        <v>1850</v>
      </c>
      <c r="F36" s="1666"/>
      <c r="G36" s="1669">
        <v>1850.0440000000001</v>
      </c>
      <c r="H36" s="1666"/>
      <c r="I36" s="1669">
        <v>0</v>
      </c>
      <c r="J36" s="1698"/>
      <c r="K36" s="633">
        <f t="shared" si="2"/>
        <v>0.45800000000000002</v>
      </c>
      <c r="L36" s="3043"/>
      <c r="M36" s="2110"/>
      <c r="N36" s="2110"/>
      <c r="O36" s="3861"/>
    </row>
    <row r="37" spans="1:15">
      <c r="A37" s="715" t="s">
        <v>257</v>
      </c>
      <c r="B37" s="715"/>
      <c r="C37" s="1669">
        <v>5.2329999999999997</v>
      </c>
      <c r="D37" s="1666"/>
      <c r="E37" s="1669">
        <v>1E-3</v>
      </c>
      <c r="F37" s="1666"/>
      <c r="G37" s="1669">
        <v>4.0229999999999997</v>
      </c>
      <c r="H37" s="1666"/>
      <c r="I37" s="1669">
        <v>0</v>
      </c>
      <c r="J37" s="1698"/>
      <c r="K37" s="633">
        <f t="shared" si="2"/>
        <v>1.2110000000000001</v>
      </c>
      <c r="L37" s="3043"/>
      <c r="M37" s="2110"/>
      <c r="N37" s="2110"/>
      <c r="O37" s="3861"/>
    </row>
    <row r="38" spans="1:15">
      <c r="A38" s="2035" t="s">
        <v>258</v>
      </c>
      <c r="B38" s="2971"/>
      <c r="C38" s="1669">
        <v>0</v>
      </c>
      <c r="D38" s="1666"/>
      <c r="E38" s="1669">
        <v>0</v>
      </c>
      <c r="F38" s="1666"/>
      <c r="G38" s="1669">
        <v>0</v>
      </c>
      <c r="H38" s="1666"/>
      <c r="I38" s="1669">
        <v>0</v>
      </c>
      <c r="J38" s="1698"/>
      <c r="K38" s="633">
        <f t="shared" si="2"/>
        <v>0</v>
      </c>
      <c r="L38" s="3043"/>
      <c r="M38" s="2110"/>
      <c r="N38" s="2110"/>
      <c r="O38" s="3861"/>
    </row>
    <row r="39" spans="1:15">
      <c r="A39" s="716" t="s">
        <v>259</v>
      </c>
      <c r="B39" s="715"/>
      <c r="C39" s="1669">
        <v>180.00800000000001</v>
      </c>
      <c r="D39" s="1666"/>
      <c r="E39" s="1669">
        <v>474.59800000000001</v>
      </c>
      <c r="F39" s="1666"/>
      <c r="G39" s="1669">
        <v>461.42</v>
      </c>
      <c r="H39" s="1666"/>
      <c r="I39" s="1669">
        <v>-2.177</v>
      </c>
      <c r="J39" s="1698"/>
      <c r="K39" s="633">
        <f t="shared" si="2"/>
        <v>191.00899999999999</v>
      </c>
      <c r="L39" s="2108"/>
      <c r="M39" s="2110"/>
      <c r="N39" s="2110"/>
      <c r="O39" s="3861"/>
    </row>
    <row r="40" spans="1:15">
      <c r="A40" s="715" t="s">
        <v>260</v>
      </c>
      <c r="B40" s="715"/>
      <c r="C40" s="1669">
        <v>74.156000000000006</v>
      </c>
      <c r="D40" s="1666"/>
      <c r="E40" s="1699">
        <v>45.110999999999997</v>
      </c>
      <c r="F40" s="1666"/>
      <c r="G40" s="1669">
        <v>57.1</v>
      </c>
      <c r="H40" s="1666"/>
      <c r="I40" s="1669">
        <v>0</v>
      </c>
      <c r="J40" s="1698"/>
      <c r="K40" s="633">
        <f t="shared" si="2"/>
        <v>62.167000000000002</v>
      </c>
      <c r="L40" s="3043"/>
      <c r="M40" s="2110"/>
      <c r="O40" s="3861"/>
    </row>
    <row r="41" spans="1:15">
      <c r="A41" s="716" t="s">
        <v>261</v>
      </c>
      <c r="B41" s="715"/>
      <c r="C41" s="1669">
        <v>-201.73599999999999</v>
      </c>
      <c r="D41" s="1666"/>
      <c r="E41" s="1669">
        <v>263.87900000000002</v>
      </c>
      <c r="F41" s="1666"/>
      <c r="G41" s="1669">
        <v>115.51</v>
      </c>
      <c r="H41" s="1666"/>
      <c r="I41" s="1669">
        <v>0</v>
      </c>
      <c r="J41" s="1698"/>
      <c r="K41" s="633">
        <f t="shared" si="2"/>
        <v>-53.366999999999997</v>
      </c>
      <c r="L41" s="3043"/>
      <c r="M41" s="2110"/>
      <c r="N41" s="2110"/>
      <c r="O41" s="3861"/>
    </row>
    <row r="42" spans="1:15">
      <c r="A42" s="716" t="s">
        <v>262</v>
      </c>
      <c r="B42" s="715"/>
      <c r="C42" s="1669">
        <v>22.841999999999999</v>
      </c>
      <c r="D42" s="1666"/>
      <c r="E42" s="1669">
        <v>-15.055999999999999</v>
      </c>
      <c r="F42" s="1666"/>
      <c r="G42" s="1669">
        <v>0.46200000000000002</v>
      </c>
      <c r="H42" s="1666"/>
      <c r="I42" s="1669">
        <v>0</v>
      </c>
      <c r="J42" s="1698"/>
      <c r="K42" s="633">
        <f t="shared" si="2"/>
        <v>7.3239999999999998</v>
      </c>
      <c r="L42" s="3043"/>
      <c r="M42" s="2110"/>
      <c r="N42" s="2110"/>
      <c r="O42" s="3861"/>
    </row>
    <row r="43" spans="1:15">
      <c r="A43" s="715" t="s">
        <v>263</v>
      </c>
      <c r="B43" s="715"/>
      <c r="C43" s="1669">
        <v>-3.6659999999999999</v>
      </c>
      <c r="D43" s="1666"/>
      <c r="E43" s="1669">
        <v>0</v>
      </c>
      <c r="F43" s="1666"/>
      <c r="G43" s="1669">
        <v>3.6999999999999998E-2</v>
      </c>
      <c r="H43" s="1666"/>
      <c r="I43" s="1669">
        <v>0</v>
      </c>
      <c r="J43" s="1698"/>
      <c r="K43" s="633">
        <f t="shared" si="2"/>
        <v>-3.7029999999999998</v>
      </c>
      <c r="L43" s="3043"/>
      <c r="M43" s="2110"/>
      <c r="N43" s="2110"/>
      <c r="O43" s="3861"/>
    </row>
    <row r="44" spans="1:15">
      <c r="A44" s="715" t="s">
        <v>1104</v>
      </c>
      <c r="B44" s="715"/>
      <c r="C44" s="1669">
        <v>2.548</v>
      </c>
      <c r="D44" s="1666"/>
      <c r="E44" s="1669">
        <v>5.2149999999999999</v>
      </c>
      <c r="F44" s="1666"/>
      <c r="G44" s="1669">
        <v>7.734</v>
      </c>
      <c r="H44" s="1666"/>
      <c r="I44" s="1669">
        <v>0</v>
      </c>
      <c r="J44" s="1698"/>
      <c r="K44" s="633">
        <f t="shared" si="2"/>
        <v>2.9000000000000001E-2</v>
      </c>
      <c r="L44" s="2108"/>
      <c r="M44" s="2110"/>
      <c r="N44" s="2110"/>
      <c r="O44" s="3861"/>
    </row>
    <row r="45" spans="1:15">
      <c r="A45" s="715" t="s">
        <v>264</v>
      </c>
      <c r="B45" s="715"/>
      <c r="C45" s="1669">
        <v>112.849</v>
      </c>
      <c r="D45" s="1666"/>
      <c r="E45" s="1669">
        <v>1.0679999999999998</v>
      </c>
      <c r="F45" s="1666"/>
      <c r="G45" s="1669">
        <v>2.6150000000000002</v>
      </c>
      <c r="H45" s="1666"/>
      <c r="I45" s="1669">
        <v>0</v>
      </c>
      <c r="J45" s="1698"/>
      <c r="K45" s="633">
        <f t="shared" si="2"/>
        <v>111.30200000000001</v>
      </c>
      <c r="L45" s="3043"/>
      <c r="M45" s="2110"/>
      <c r="N45" s="2110"/>
      <c r="O45" s="3861"/>
    </row>
    <row r="46" spans="1:15">
      <c r="A46" s="715" t="s">
        <v>265</v>
      </c>
      <c r="B46" s="715"/>
      <c r="C46" s="1669">
        <v>16.655999999999999</v>
      </c>
      <c r="D46" s="1666"/>
      <c r="E46" s="1669">
        <v>3.105</v>
      </c>
      <c r="F46" s="1666"/>
      <c r="G46" s="1669">
        <v>1.48</v>
      </c>
      <c r="H46" s="1666"/>
      <c r="I46" s="1669">
        <v>-2.35</v>
      </c>
      <c r="J46" s="1698"/>
      <c r="K46" s="633">
        <f t="shared" si="2"/>
        <v>15.930999999999999</v>
      </c>
      <c r="L46" s="3043" t="s">
        <v>14</v>
      </c>
      <c r="M46" s="2110"/>
      <c r="N46" s="2110"/>
      <c r="O46" s="3861"/>
    </row>
    <row r="47" spans="1:15">
      <c r="A47" s="715" t="s">
        <v>266</v>
      </c>
      <c r="B47" s="715"/>
      <c r="C47" s="1669">
        <v>8.1329999999999991</v>
      </c>
      <c r="D47" s="1666"/>
      <c r="E47" s="1669">
        <v>4.0039999999999996</v>
      </c>
      <c r="F47" s="1666"/>
      <c r="G47" s="1669">
        <v>3.5470000000000002</v>
      </c>
      <c r="H47" s="1666"/>
      <c r="I47" s="1669">
        <v>0</v>
      </c>
      <c r="J47" s="1698"/>
      <c r="K47" s="633">
        <f t="shared" si="2"/>
        <v>8.59</v>
      </c>
      <c r="L47" s="3043"/>
      <c r="M47" s="2110"/>
      <c r="N47" s="2110"/>
      <c r="O47" s="3861"/>
    </row>
    <row r="48" spans="1:15">
      <c r="A48" s="715" t="s">
        <v>267</v>
      </c>
      <c r="B48" s="715"/>
      <c r="C48" s="1669">
        <v>8.7029999999999994</v>
      </c>
      <c r="D48" s="1666"/>
      <c r="E48" s="1669">
        <v>5.6680000000000001</v>
      </c>
      <c r="F48" s="1666"/>
      <c r="G48" s="1669">
        <v>1.9910000000000001</v>
      </c>
      <c r="H48" s="1666"/>
      <c r="I48" s="1669">
        <v>0</v>
      </c>
      <c r="J48" s="1698"/>
      <c r="K48" s="633">
        <f t="shared" si="2"/>
        <v>12.38</v>
      </c>
      <c r="L48" s="3043"/>
      <c r="M48" s="2110"/>
      <c r="N48" s="2110"/>
      <c r="O48" s="3861"/>
    </row>
    <row r="49" spans="1:15">
      <c r="A49" s="716" t="s">
        <v>268</v>
      </c>
      <c r="B49" s="715"/>
      <c r="C49" s="1669">
        <v>0.51700000000000002</v>
      </c>
      <c r="D49" s="1666"/>
      <c r="E49" s="1669">
        <v>2E-3</v>
      </c>
      <c r="F49" s="1666"/>
      <c r="G49" s="1669">
        <v>0</v>
      </c>
      <c r="H49" s="1666"/>
      <c r="I49" s="1669">
        <v>0</v>
      </c>
      <c r="J49" s="1698"/>
      <c r="K49" s="633">
        <f t="shared" si="2"/>
        <v>0.51900000000000002</v>
      </c>
      <c r="L49" s="3043"/>
      <c r="M49" s="2110"/>
      <c r="N49" s="2110"/>
      <c r="O49" s="3861"/>
    </row>
    <row r="50" spans="1:15">
      <c r="A50" s="715" t="s">
        <v>269</v>
      </c>
      <c r="B50" s="715"/>
      <c r="C50" s="1669">
        <v>93.286000000000001</v>
      </c>
      <c r="D50" s="1666"/>
      <c r="E50" s="1669">
        <v>145.161</v>
      </c>
      <c r="F50" s="1666"/>
      <c r="G50" s="1669">
        <v>0.30399999999999999</v>
      </c>
      <c r="H50" s="1666"/>
      <c r="I50" s="1669">
        <v>-3.5999999999999997E-2</v>
      </c>
      <c r="J50" s="1698"/>
      <c r="K50" s="633">
        <f t="shared" si="2"/>
        <v>238.107</v>
      </c>
      <c r="L50" s="3043"/>
      <c r="M50" s="2110"/>
      <c r="N50" s="2110"/>
      <c r="O50" s="3861"/>
    </row>
    <row r="51" spans="1:15">
      <c r="A51" s="715" t="s">
        <v>270</v>
      </c>
      <c r="B51" s="715"/>
      <c r="C51" s="1669">
        <v>-33.999000000000002</v>
      </c>
      <c r="D51" s="1666"/>
      <c r="E51" s="1669">
        <v>2.8889999999999998</v>
      </c>
      <c r="F51" s="1666"/>
      <c r="G51" s="1669">
        <v>3.24</v>
      </c>
      <c r="H51" s="1666"/>
      <c r="I51" s="1669">
        <v>0</v>
      </c>
      <c r="J51" s="1698"/>
      <c r="K51" s="633">
        <f t="shared" si="2"/>
        <v>-34.35</v>
      </c>
      <c r="L51" s="3043"/>
      <c r="M51" s="2110"/>
      <c r="N51" s="2110"/>
      <c r="O51" s="3861"/>
    </row>
    <row r="52" spans="1:15">
      <c r="A52" s="715" t="s">
        <v>271</v>
      </c>
      <c r="B52" s="715"/>
      <c r="C52" s="1669">
        <v>7.0999999999999994E-2</v>
      </c>
      <c r="D52" s="1666"/>
      <c r="E52" s="1669">
        <v>0</v>
      </c>
      <c r="F52" s="1666"/>
      <c r="G52" s="1669">
        <v>0</v>
      </c>
      <c r="H52" s="1666"/>
      <c r="I52" s="1669">
        <v>0</v>
      </c>
      <c r="J52" s="1698"/>
      <c r="K52" s="633">
        <f t="shared" si="2"/>
        <v>7.0999999999999994E-2</v>
      </c>
      <c r="L52" s="3043"/>
      <c r="M52" s="2110"/>
      <c r="N52" s="2110"/>
      <c r="O52" s="3861"/>
    </row>
    <row r="53" spans="1:15">
      <c r="A53" s="715" t="s">
        <v>901</v>
      </c>
      <c r="B53" s="715"/>
      <c r="C53" s="1669">
        <v>12.471</v>
      </c>
      <c r="D53" s="1666"/>
      <c r="E53" s="1669">
        <v>0.12</v>
      </c>
      <c r="F53" s="1666"/>
      <c r="G53" s="1669">
        <v>7.0999999999999994E-2</v>
      </c>
      <c r="H53" s="1666"/>
      <c r="I53" s="1669">
        <v>0</v>
      </c>
      <c r="J53" s="1698"/>
      <c r="K53" s="633">
        <f t="shared" si="2"/>
        <v>12.52</v>
      </c>
      <c r="L53" s="3043"/>
      <c r="M53" s="2110"/>
      <c r="N53" s="2110"/>
      <c r="O53" s="3861"/>
    </row>
    <row r="54" spans="1:15">
      <c r="A54" s="715" t="s">
        <v>272</v>
      </c>
      <c r="B54" s="715"/>
      <c r="C54" s="1669">
        <v>0</v>
      </c>
      <c r="D54" s="1666"/>
      <c r="E54" s="1669">
        <v>0</v>
      </c>
      <c r="F54" s="1666"/>
      <c r="G54" s="1669">
        <v>0</v>
      </c>
      <c r="H54" s="1666"/>
      <c r="I54" s="1669">
        <v>0</v>
      </c>
      <c r="J54" s="1698"/>
      <c r="K54" s="633">
        <f t="shared" si="2"/>
        <v>0</v>
      </c>
      <c r="L54" s="3043"/>
      <c r="M54" s="2110"/>
      <c r="O54" s="3861"/>
    </row>
    <row r="55" spans="1:15">
      <c r="A55" s="716" t="s">
        <v>273</v>
      </c>
      <c r="B55" s="715"/>
      <c r="C55" s="1669">
        <v>0.46800000000000003</v>
      </c>
      <c r="D55" s="1666"/>
      <c r="E55" s="1669">
        <v>0</v>
      </c>
      <c r="F55" s="1666"/>
      <c r="G55" s="1669">
        <v>0</v>
      </c>
      <c r="H55" s="1666"/>
      <c r="I55" s="1669">
        <v>0</v>
      </c>
      <c r="J55" s="1698"/>
      <c r="K55" s="633">
        <f t="shared" si="2"/>
        <v>0.46800000000000003</v>
      </c>
      <c r="L55" s="2108"/>
      <c r="M55" s="2110"/>
      <c r="N55" s="2110"/>
      <c r="O55" s="3861"/>
    </row>
    <row r="56" spans="1:15">
      <c r="A56" s="716" t="s">
        <v>274</v>
      </c>
      <c r="B56" s="715"/>
      <c r="C56" s="1669">
        <v>0</v>
      </c>
      <c r="D56" s="1666"/>
      <c r="E56" s="1669">
        <v>0</v>
      </c>
      <c r="F56" s="1666"/>
      <c r="G56" s="1669">
        <v>0</v>
      </c>
      <c r="H56" s="1666"/>
      <c r="I56" s="1669">
        <v>0</v>
      </c>
      <c r="J56" s="1698"/>
      <c r="K56" s="633">
        <f t="shared" si="2"/>
        <v>0</v>
      </c>
      <c r="L56" s="3043"/>
      <c r="M56" s="2110"/>
      <c r="N56" s="2110"/>
      <c r="O56" s="3861"/>
    </row>
    <row r="57" spans="1:15">
      <c r="A57" s="716" t="s">
        <v>275</v>
      </c>
      <c r="B57" s="715"/>
      <c r="C57" s="1669">
        <v>0</v>
      </c>
      <c r="D57" s="1666"/>
      <c r="E57" s="1669">
        <v>0</v>
      </c>
      <c r="F57" s="1666"/>
      <c r="G57" s="1669">
        <v>0</v>
      </c>
      <c r="H57" s="1666"/>
      <c r="I57" s="1669">
        <v>0</v>
      </c>
      <c r="J57" s="1698"/>
      <c r="K57" s="633">
        <f t="shared" si="2"/>
        <v>0</v>
      </c>
      <c r="L57" s="3043"/>
      <c r="M57" s="2110"/>
      <c r="N57" s="2110"/>
      <c r="O57" s="3861"/>
    </row>
    <row r="58" spans="1:15">
      <c r="A58" s="716" t="s">
        <v>1260</v>
      </c>
      <c r="B58" s="715"/>
      <c r="C58" s="1669">
        <v>0.61799999999999999</v>
      </c>
      <c r="D58" s="1666"/>
      <c r="E58" s="1669">
        <v>0</v>
      </c>
      <c r="F58" s="1666"/>
      <c r="G58" s="1669">
        <v>0</v>
      </c>
      <c r="H58" s="1666"/>
      <c r="I58" s="1669">
        <v>0</v>
      </c>
      <c r="J58" s="1698"/>
      <c r="K58" s="633">
        <f t="shared" si="2"/>
        <v>0.61799999999999999</v>
      </c>
      <c r="L58" s="3043"/>
      <c r="M58" s="2110"/>
      <c r="N58" s="2110"/>
      <c r="O58" s="3861"/>
    </row>
    <row r="59" spans="1:15">
      <c r="A59" s="716" t="s">
        <v>276</v>
      </c>
      <c r="B59" s="715"/>
      <c r="C59" s="1669">
        <v>1948.2619999999999</v>
      </c>
      <c r="D59" s="1666"/>
      <c r="E59" s="1669">
        <v>231.03100000000001</v>
      </c>
      <c r="F59" s="1666"/>
      <c r="G59" s="1669">
        <v>240.7</v>
      </c>
      <c r="H59" s="1666"/>
      <c r="I59" s="1669">
        <v>30.543000000000003</v>
      </c>
      <c r="J59" s="1698"/>
      <c r="K59" s="633">
        <f t="shared" si="2"/>
        <v>1969.136</v>
      </c>
      <c r="L59" s="3043"/>
      <c r="M59" s="2972"/>
      <c r="N59" s="2110"/>
      <c r="O59" s="3861"/>
    </row>
    <row r="60" spans="1:15">
      <c r="A60" s="715" t="s">
        <v>277</v>
      </c>
      <c r="B60" s="715"/>
      <c r="C60" s="1669">
        <v>42.838000000000001</v>
      </c>
      <c r="D60" s="1666"/>
      <c r="E60" s="1669">
        <v>3.0000000000000001E-3</v>
      </c>
      <c r="F60" s="1666"/>
      <c r="G60" s="1669">
        <v>2.5179999999999998</v>
      </c>
      <c r="H60" s="1666"/>
      <c r="I60" s="1669">
        <v>0</v>
      </c>
      <c r="J60" s="1698"/>
      <c r="K60" s="633">
        <f t="shared" si="2"/>
        <v>40.323</v>
      </c>
      <c r="L60" s="3043"/>
      <c r="M60" s="720"/>
      <c r="N60" s="2110"/>
      <c r="O60" s="3861"/>
    </row>
    <row r="61" spans="1:15">
      <c r="A61" s="715"/>
      <c r="B61" s="715"/>
      <c r="C61" s="1669"/>
      <c r="D61" s="1666"/>
      <c r="E61" s="1669"/>
      <c r="F61" s="1666"/>
      <c r="G61" s="1669"/>
      <c r="H61" s="1666"/>
      <c r="I61" s="1669"/>
      <c r="J61" s="1698"/>
      <c r="K61" s="633"/>
      <c r="L61" s="2108"/>
      <c r="M61" s="429"/>
      <c r="N61" s="2110"/>
      <c r="O61" s="3861"/>
    </row>
    <row r="62" spans="1:15">
      <c r="A62" s="429" t="s">
        <v>840</v>
      </c>
      <c r="B62" s="715"/>
      <c r="C62" s="1669"/>
      <c r="D62" s="1666"/>
      <c r="E62" s="1669"/>
      <c r="F62" s="1666"/>
      <c r="G62" s="1669"/>
      <c r="H62" s="1666"/>
      <c r="I62" s="1669"/>
      <c r="J62" s="1698"/>
      <c r="K62" s="633"/>
      <c r="L62" s="2108"/>
      <c r="M62" s="429"/>
      <c r="N62" s="2110"/>
      <c r="O62" s="3861"/>
    </row>
    <row r="63" spans="1:15">
      <c r="A63" s="715" t="s">
        <v>278</v>
      </c>
      <c r="B63" s="1698"/>
      <c r="C63" s="1669">
        <v>5.2999999999999999E-2</v>
      </c>
      <c r="D63" s="1666"/>
      <c r="E63" s="1669">
        <v>0</v>
      </c>
      <c r="F63" s="1666"/>
      <c r="G63" s="1669">
        <v>0</v>
      </c>
      <c r="H63" s="1666"/>
      <c r="I63" s="1669">
        <v>0</v>
      </c>
      <c r="J63" s="1698"/>
      <c r="K63" s="633">
        <f>ROUND(SUM(C63)+SUM(E63)-SUM(G63)+SUM(I63),3)</f>
        <v>5.2999999999999999E-2</v>
      </c>
      <c r="L63" s="2108"/>
      <c r="M63" s="2110"/>
      <c r="N63" s="2110"/>
      <c r="O63" s="3861"/>
    </row>
    <row r="64" spans="1:15">
      <c r="A64" s="715" t="s">
        <v>279</v>
      </c>
      <c r="B64" s="715"/>
      <c r="C64" s="1669">
        <v>2015.414</v>
      </c>
      <c r="D64" s="1666"/>
      <c r="E64" s="1669">
        <v>486.90800000000002</v>
      </c>
      <c r="F64" s="1666"/>
      <c r="G64" s="1669">
        <v>522.98</v>
      </c>
      <c r="H64" s="1666"/>
      <c r="I64" s="1669">
        <v>15.257</v>
      </c>
      <c r="J64" s="1698"/>
      <c r="K64" s="633">
        <f>ROUND(SUM(C64)+SUM(E64)-SUM(G64)+SUM(I64),3)</f>
        <v>1994.5989999999999</v>
      </c>
      <c r="L64" s="3043"/>
      <c r="M64" s="2110"/>
      <c r="N64" s="2110"/>
      <c r="O64" s="3861"/>
    </row>
    <row r="65" spans="1:15">
      <c r="A65" s="716" t="s">
        <v>280</v>
      </c>
      <c r="B65" s="715"/>
      <c r="C65" s="1669">
        <v>6.2949999999999999</v>
      </c>
      <c r="D65" s="1666"/>
      <c r="E65" s="1669">
        <v>7.1999999999999995E-2</v>
      </c>
      <c r="F65" s="1666"/>
      <c r="G65" s="1669">
        <v>0.113</v>
      </c>
      <c r="H65" s="1666"/>
      <c r="I65" s="1669">
        <v>0</v>
      </c>
      <c r="J65" s="1698"/>
      <c r="K65" s="633">
        <f>ROUND(SUM(C65)+SUM(E65)-SUM(G65)+SUM(I65),3)</f>
        <v>6.2539999999999996</v>
      </c>
      <c r="L65" s="3043"/>
      <c r="M65" s="2110"/>
      <c r="N65" s="2110"/>
      <c r="O65" s="3861"/>
    </row>
    <row r="66" spans="1:15">
      <c r="A66" s="715" t="s">
        <v>281</v>
      </c>
      <c r="B66" s="715"/>
      <c r="C66" s="1669">
        <v>0.67800000000000005</v>
      </c>
      <c r="D66" s="1666"/>
      <c r="E66" s="1669">
        <v>0</v>
      </c>
      <c r="F66" s="1666"/>
      <c r="G66" s="1669">
        <v>8.7999999999999995E-2</v>
      </c>
      <c r="H66" s="1666"/>
      <c r="I66" s="1669">
        <v>0</v>
      </c>
      <c r="J66" s="1698"/>
      <c r="K66" s="633">
        <f>ROUND(SUM(C66)+SUM(E66)-SUM(G66)+SUM(I66),3)</f>
        <v>0.59</v>
      </c>
      <c r="L66" s="3043"/>
      <c r="M66" s="2110"/>
      <c r="N66" s="2110"/>
      <c r="O66" s="3861"/>
    </row>
    <row r="67" spans="1:15">
      <c r="A67" s="715" t="s">
        <v>282</v>
      </c>
      <c r="B67" s="715"/>
      <c r="C67" s="3381"/>
      <c r="D67" s="1696"/>
      <c r="E67" s="1699"/>
      <c r="F67" s="1700"/>
      <c r="G67" s="1699"/>
      <c r="H67" s="1700"/>
      <c r="I67" s="1701"/>
      <c r="J67" s="715"/>
      <c r="K67" s="633" t="s">
        <v>14</v>
      </c>
      <c r="L67" s="3043"/>
      <c r="M67" s="2110"/>
      <c r="N67" s="2110"/>
      <c r="O67" s="3861"/>
    </row>
    <row r="68" spans="1:15">
      <c r="A68" s="715" t="s">
        <v>283</v>
      </c>
      <c r="B68" s="715"/>
      <c r="C68" s="1669">
        <v>103.54599999999999</v>
      </c>
      <c r="D68" s="1666"/>
      <c r="E68" s="1669">
        <v>14.491</v>
      </c>
      <c r="F68" s="1666"/>
      <c r="G68" s="1669">
        <v>0.59299999999999997</v>
      </c>
      <c r="H68" s="1666"/>
      <c r="I68" s="1669">
        <v>-37.433</v>
      </c>
      <c r="J68" s="1698"/>
      <c r="K68" s="633">
        <f t="shared" ref="K68:K73" si="3">ROUND(SUM(C68)+SUM(E68)-SUM(G68)+SUM(I68),3)</f>
        <v>80.010999999999996</v>
      </c>
      <c r="L68" s="3043"/>
      <c r="M68" s="2110"/>
      <c r="N68" s="720"/>
      <c r="O68" s="3861"/>
    </row>
    <row r="69" spans="1:15">
      <c r="A69" s="715" t="s">
        <v>284</v>
      </c>
      <c r="B69" s="431"/>
      <c r="C69" s="1669">
        <v>0.47</v>
      </c>
      <c r="D69" s="1666"/>
      <c r="E69" s="1669">
        <v>0</v>
      </c>
      <c r="F69" s="1666"/>
      <c r="G69" s="1669">
        <v>1.2E-2</v>
      </c>
      <c r="H69" s="1666"/>
      <c r="I69" s="1669">
        <v>0</v>
      </c>
      <c r="J69" s="1698"/>
      <c r="K69" s="633">
        <f t="shared" si="3"/>
        <v>0.45800000000000002</v>
      </c>
      <c r="L69" s="3043"/>
      <c r="M69" s="2110"/>
      <c r="N69" s="2110"/>
      <c r="O69" s="3861"/>
    </row>
    <row r="70" spans="1:15">
      <c r="A70" s="715" t="s">
        <v>285</v>
      </c>
      <c r="B70" s="715"/>
      <c r="C70" s="1669">
        <v>2.4E-2</v>
      </c>
      <c r="D70" s="1666"/>
      <c r="E70" s="1669">
        <v>0</v>
      </c>
      <c r="F70" s="1666"/>
      <c r="G70" s="1669">
        <v>0</v>
      </c>
      <c r="H70" s="1666"/>
      <c r="I70" s="1669">
        <v>0</v>
      </c>
      <c r="J70" s="1698"/>
      <c r="K70" s="633">
        <f t="shared" si="3"/>
        <v>2.4E-2</v>
      </c>
      <c r="L70" s="3043"/>
      <c r="M70" s="2110"/>
      <c r="N70" s="2110"/>
      <c r="O70" s="3861"/>
    </row>
    <row r="71" spans="1:15">
      <c r="A71" s="716" t="s">
        <v>286</v>
      </c>
      <c r="B71" s="715"/>
      <c r="C71" s="1669">
        <v>9.5210000000000008</v>
      </c>
      <c r="D71" s="1666"/>
      <c r="E71" s="1669">
        <v>1E-3</v>
      </c>
      <c r="F71" s="1666"/>
      <c r="G71" s="1669">
        <v>0.2</v>
      </c>
      <c r="H71" s="1666"/>
      <c r="I71" s="1669">
        <v>0</v>
      </c>
      <c r="J71" s="1698"/>
      <c r="K71" s="633">
        <f t="shared" si="3"/>
        <v>9.3219999999999992</v>
      </c>
      <c r="L71" s="3043"/>
      <c r="M71" s="2110"/>
      <c r="N71" s="2110"/>
      <c r="O71" s="3861"/>
    </row>
    <row r="72" spans="1:15">
      <c r="A72" s="715" t="s">
        <v>287</v>
      </c>
      <c r="B72" s="715"/>
      <c r="C72" s="1669">
        <v>-19.181000000000001</v>
      </c>
      <c r="D72" s="1666"/>
      <c r="E72" s="1669">
        <v>0.309</v>
      </c>
      <c r="F72" s="1666"/>
      <c r="G72" s="1669">
        <v>0.23400000000000001</v>
      </c>
      <c r="H72" s="1666"/>
      <c r="I72" s="1669">
        <v>0</v>
      </c>
      <c r="J72" s="1698"/>
      <c r="K72" s="633">
        <f t="shared" si="3"/>
        <v>-19.106000000000002</v>
      </c>
      <c r="L72" s="3043"/>
      <c r="M72" s="2110"/>
      <c r="N72" s="2110"/>
      <c r="O72" s="3861"/>
    </row>
    <row r="73" spans="1:15">
      <c r="A73" s="715" t="s">
        <v>288</v>
      </c>
      <c r="B73" s="715"/>
      <c r="C73" s="1669">
        <v>3.5999999999999997E-2</v>
      </c>
      <c r="D73" s="1666"/>
      <c r="E73" s="1669">
        <v>0</v>
      </c>
      <c r="F73" s="1666"/>
      <c r="G73" s="1669">
        <v>0.02</v>
      </c>
      <c r="H73" s="1666"/>
      <c r="I73" s="1669">
        <v>0</v>
      </c>
      <c r="J73" s="1698"/>
      <c r="K73" s="633">
        <f t="shared" si="3"/>
        <v>1.6E-2</v>
      </c>
      <c r="L73" s="2108"/>
      <c r="M73" s="2110"/>
      <c r="N73" s="2110"/>
      <c r="O73" s="3861"/>
    </row>
    <row r="74" spans="1:15">
      <c r="A74" s="715" t="s">
        <v>289</v>
      </c>
      <c r="B74" s="715"/>
      <c r="C74" s="3381"/>
      <c r="D74" s="1696"/>
      <c r="E74" s="1699"/>
      <c r="F74" s="1700"/>
      <c r="G74" s="1699"/>
      <c r="H74" s="1700"/>
      <c r="I74" s="1699"/>
      <c r="J74" s="715"/>
      <c r="K74" s="633"/>
      <c r="L74" s="2111"/>
      <c r="M74" s="2110"/>
      <c r="N74" s="2110"/>
      <c r="O74" s="3861"/>
    </row>
    <row r="75" spans="1:15">
      <c r="A75" s="715" t="s">
        <v>290</v>
      </c>
      <c r="B75" s="715"/>
      <c r="C75" s="1669">
        <v>-5.351</v>
      </c>
      <c r="D75" s="1666"/>
      <c r="E75" s="1669">
        <v>0</v>
      </c>
      <c r="F75" s="1666"/>
      <c r="G75" s="1669">
        <v>0</v>
      </c>
      <c r="H75" s="1666"/>
      <c r="I75" s="1669">
        <v>0</v>
      </c>
      <c r="J75" s="1698"/>
      <c r="K75" s="633">
        <f t="shared" ref="K75:K90" si="4">ROUND(SUM(C75)+SUM(E75)-SUM(G75)+SUM(I75),3)</f>
        <v>-5.351</v>
      </c>
      <c r="L75" s="3043"/>
      <c r="M75" s="2110"/>
      <c r="N75" s="2110"/>
      <c r="O75" s="3861"/>
    </row>
    <row r="76" spans="1:15">
      <c r="A76" s="715" t="s">
        <v>291</v>
      </c>
      <c r="B76" s="715"/>
      <c r="C76" s="1669">
        <v>-53.451999999999998</v>
      </c>
      <c r="D76" s="1666"/>
      <c r="E76" s="1669">
        <v>0</v>
      </c>
      <c r="F76" s="1666"/>
      <c r="G76" s="1699">
        <v>2.4340000000000002</v>
      </c>
      <c r="H76" s="1666"/>
      <c r="I76" s="1669">
        <v>0</v>
      </c>
      <c r="J76" s="1698"/>
      <c r="K76" s="633">
        <f t="shared" si="4"/>
        <v>-55.886000000000003</v>
      </c>
      <c r="L76" s="3043"/>
      <c r="M76" s="2110"/>
      <c r="N76" s="2110"/>
      <c r="O76" s="3861"/>
    </row>
    <row r="77" spans="1:15">
      <c r="A77" s="715" t="s">
        <v>292</v>
      </c>
      <c r="B77" s="715"/>
      <c r="C77" s="1669">
        <v>85.075999999999993</v>
      </c>
      <c r="D77" s="1666"/>
      <c r="E77" s="1669">
        <v>5.7329999999999997</v>
      </c>
      <c r="F77" s="1666"/>
      <c r="G77" s="1669">
        <v>4.0369999999999999</v>
      </c>
      <c r="H77" s="1666"/>
      <c r="I77" s="1669">
        <v>0</v>
      </c>
      <c r="J77" s="1698"/>
      <c r="K77" s="633">
        <f t="shared" si="4"/>
        <v>86.772000000000006</v>
      </c>
      <c r="L77" s="2108"/>
      <c r="M77" s="2110"/>
      <c r="N77" s="2110"/>
      <c r="O77" s="3861"/>
    </row>
    <row r="78" spans="1:15">
      <c r="A78" s="715" t="s">
        <v>293</v>
      </c>
      <c r="B78" s="715"/>
      <c r="C78" s="1669">
        <v>0.26</v>
      </c>
      <c r="D78" s="1666"/>
      <c r="E78" s="1669">
        <v>0</v>
      </c>
      <c r="F78" s="1666"/>
      <c r="G78" s="1669">
        <v>0</v>
      </c>
      <c r="H78" s="1666"/>
      <c r="I78" s="1669">
        <v>0</v>
      </c>
      <c r="J78" s="1698"/>
      <c r="K78" s="633">
        <f t="shared" si="4"/>
        <v>0.26</v>
      </c>
      <c r="L78" s="2108"/>
      <c r="M78" s="2110"/>
      <c r="N78" s="2110"/>
      <c r="O78" s="3861"/>
    </row>
    <row r="79" spans="1:15">
      <c r="A79" s="716" t="s">
        <v>294</v>
      </c>
      <c r="B79" s="715"/>
      <c r="C79" s="1669">
        <v>675.05100000000004</v>
      </c>
      <c r="D79" s="1666"/>
      <c r="E79" s="1669">
        <v>26.053000000000001</v>
      </c>
      <c r="F79" s="1666"/>
      <c r="G79" s="1669">
        <v>7.1269999999999998</v>
      </c>
      <c r="H79" s="1666"/>
      <c r="I79" s="1669">
        <v>0</v>
      </c>
      <c r="J79" s="1698"/>
      <c r="K79" s="633">
        <f t="shared" si="4"/>
        <v>693.97699999999998</v>
      </c>
      <c r="L79" s="3043"/>
      <c r="M79" s="2110"/>
      <c r="N79" s="2110"/>
      <c r="O79" s="3861"/>
    </row>
    <row r="80" spans="1:15">
      <c r="A80" s="715" t="s">
        <v>295</v>
      </c>
      <c r="B80" s="715"/>
      <c r="C80" s="1669">
        <v>13.420999999999999</v>
      </c>
      <c r="D80" s="1666"/>
      <c r="E80" s="1669">
        <v>2E-3</v>
      </c>
      <c r="F80" s="1666"/>
      <c r="G80" s="1669">
        <v>2E-3</v>
      </c>
      <c r="H80" s="1666"/>
      <c r="I80" s="1669">
        <v>0</v>
      </c>
      <c r="J80" s="1698"/>
      <c r="K80" s="633">
        <f t="shared" si="4"/>
        <v>13.420999999999999</v>
      </c>
      <c r="L80" s="2108"/>
      <c r="M80" s="2110"/>
      <c r="N80" s="2110"/>
      <c r="O80" s="3861"/>
    </row>
    <row r="81" spans="1:15">
      <c r="A81" s="716" t="s">
        <v>296</v>
      </c>
      <c r="B81" s="715"/>
      <c r="C81" s="1669">
        <v>115.384</v>
      </c>
      <c r="D81" s="1666"/>
      <c r="E81" s="1669">
        <v>8.9999999999999993E-3</v>
      </c>
      <c r="F81" s="1666"/>
      <c r="G81" s="1669">
        <v>12.625</v>
      </c>
      <c r="H81" s="1666"/>
      <c r="I81" s="1669">
        <v>12.625</v>
      </c>
      <c r="J81" s="1698"/>
      <c r="K81" s="633">
        <f t="shared" si="4"/>
        <v>115.393</v>
      </c>
      <c r="L81" s="3043"/>
      <c r="M81" s="2110"/>
      <c r="N81" s="2110"/>
      <c r="O81" s="3861"/>
    </row>
    <row r="82" spans="1:15">
      <c r="A82" s="716" t="s">
        <v>1103</v>
      </c>
      <c r="B82" s="715"/>
      <c r="C82" s="1669">
        <v>116.545</v>
      </c>
      <c r="D82" s="1666"/>
      <c r="E82" s="1669">
        <v>8.82</v>
      </c>
      <c r="F82" s="1666"/>
      <c r="G82" s="1669">
        <v>10.83</v>
      </c>
      <c r="H82" s="1666"/>
      <c r="I82" s="1669">
        <v>0</v>
      </c>
      <c r="J82" s="1698"/>
      <c r="K82" s="633">
        <f t="shared" si="4"/>
        <v>114.535</v>
      </c>
      <c r="L82" s="3043"/>
      <c r="M82" s="2110"/>
      <c r="N82" s="2110"/>
      <c r="O82" s="3861"/>
    </row>
    <row r="83" spans="1:15">
      <c r="A83" s="716" t="s">
        <v>1533</v>
      </c>
      <c r="B83" s="715"/>
      <c r="C83" s="1669">
        <v>26.890999999999998</v>
      </c>
      <c r="D83" s="1666"/>
      <c r="E83" s="1669">
        <v>1.0780000000000001</v>
      </c>
      <c r="F83" s="1666"/>
      <c r="G83" s="1669">
        <v>1.7939999999999998</v>
      </c>
      <c r="H83" s="1666"/>
      <c r="I83" s="1669">
        <v>0</v>
      </c>
      <c r="J83" s="1698"/>
      <c r="K83" s="633">
        <f t="shared" si="4"/>
        <v>26.175000000000001</v>
      </c>
      <c r="L83" s="2108"/>
      <c r="M83" s="2110"/>
      <c r="N83" s="2110"/>
      <c r="O83" s="3861"/>
    </row>
    <row r="84" spans="1:15">
      <c r="A84" s="716" t="s">
        <v>1159</v>
      </c>
      <c r="B84" s="715"/>
      <c r="C84" s="1669">
        <v>6.5739999999999998</v>
      </c>
      <c r="D84" s="1666"/>
      <c r="E84" s="1669">
        <v>0.47599999999999998</v>
      </c>
      <c r="F84" s="1666"/>
      <c r="G84" s="1669">
        <v>4.9000000000000002E-2</v>
      </c>
      <c r="H84" s="1666"/>
      <c r="I84" s="1669">
        <v>0</v>
      </c>
      <c r="J84" s="1698"/>
      <c r="K84" s="633">
        <f t="shared" si="4"/>
        <v>7.0010000000000003</v>
      </c>
      <c r="L84" s="3043"/>
      <c r="M84" s="2110"/>
      <c r="N84" s="2110"/>
      <c r="O84" s="3861"/>
    </row>
    <row r="85" spans="1:15">
      <c r="A85" s="716" t="s">
        <v>1505</v>
      </c>
      <c r="B85" s="715"/>
      <c r="C85" s="1669">
        <v>-0.69599999999999995</v>
      </c>
      <c r="D85" s="1666"/>
      <c r="E85" s="1669">
        <v>0</v>
      </c>
      <c r="F85" s="1666"/>
      <c r="G85" s="1669">
        <v>0.38300000000000001</v>
      </c>
      <c r="H85" s="1666"/>
      <c r="I85" s="1669">
        <v>0</v>
      </c>
      <c r="J85" s="1698"/>
      <c r="K85" s="633">
        <f>ROUND(SUM(C85)+SUM(E85)-SUM(G85)+SUM(I85),3)</f>
        <v>-1.079</v>
      </c>
      <c r="L85" s="3043"/>
      <c r="M85" s="2110"/>
      <c r="N85" s="2110"/>
      <c r="O85" s="3861"/>
    </row>
    <row r="86" spans="1:15">
      <c r="A86" s="716" t="s">
        <v>1211</v>
      </c>
      <c r="B86" s="715"/>
      <c r="C86" s="1669">
        <v>446.10500000000002</v>
      </c>
      <c r="D86" s="1666"/>
      <c r="E86" s="1669">
        <v>50.02</v>
      </c>
      <c r="F86" s="1666"/>
      <c r="G86" s="1669">
        <v>0</v>
      </c>
      <c r="H86" s="1666"/>
      <c r="I86" s="1669">
        <v>0</v>
      </c>
      <c r="J86" s="1698"/>
      <c r="K86" s="633">
        <f t="shared" si="4"/>
        <v>496.125</v>
      </c>
      <c r="L86" s="3043"/>
      <c r="M86" s="2110"/>
      <c r="N86" s="2110"/>
      <c r="O86" s="3861"/>
    </row>
    <row r="87" spans="1:15">
      <c r="A87" s="716" t="s">
        <v>1250</v>
      </c>
      <c r="B87" s="715"/>
      <c r="C87" s="1669">
        <v>5.7000000000000002E-2</v>
      </c>
      <c r="D87" s="1666"/>
      <c r="E87" s="1669">
        <v>0</v>
      </c>
      <c r="F87" s="1666"/>
      <c r="G87" s="1669">
        <v>0</v>
      </c>
      <c r="H87" s="1666"/>
      <c r="I87" s="1669">
        <v>0</v>
      </c>
      <c r="J87" s="1698"/>
      <c r="K87" s="633">
        <f t="shared" si="4"/>
        <v>5.7000000000000002E-2</v>
      </c>
      <c r="L87" s="3043"/>
      <c r="M87" s="2110"/>
      <c r="N87" s="2110"/>
      <c r="O87" s="3861"/>
    </row>
    <row r="88" spans="1:15">
      <c r="A88" s="716" t="s">
        <v>1536</v>
      </c>
      <c r="B88" s="715"/>
      <c r="C88" s="1669">
        <v>25.16</v>
      </c>
      <c r="D88" s="1666"/>
      <c r="E88" s="1669">
        <v>0.753</v>
      </c>
      <c r="F88" s="1666"/>
      <c r="G88" s="1669">
        <v>0</v>
      </c>
      <c r="H88" s="1666"/>
      <c r="I88" s="1669">
        <v>0</v>
      </c>
      <c r="J88" s="1698"/>
      <c r="K88" s="633">
        <f>ROUND(SUM(C88)+SUM(E88)-SUM(G88)+SUM(I88),3)</f>
        <v>25.913</v>
      </c>
      <c r="L88" s="3043"/>
      <c r="M88" s="2110"/>
      <c r="N88" s="2110"/>
      <c r="O88" s="3861"/>
    </row>
    <row r="89" spans="1:15">
      <c r="A89" s="716" t="s">
        <v>1537</v>
      </c>
      <c r="B89" s="715"/>
      <c r="C89" s="1669">
        <v>200</v>
      </c>
      <c r="D89" s="1666"/>
      <c r="E89" s="1669">
        <v>46.628</v>
      </c>
      <c r="F89" s="1666"/>
      <c r="G89" s="1669">
        <v>0</v>
      </c>
      <c r="H89" s="1666"/>
      <c r="I89" s="1669">
        <v>0</v>
      </c>
      <c r="J89" s="1698"/>
      <c r="K89" s="633">
        <f>ROUND(SUM(C89)+SUM(E89)-SUM(G89)+SUM(I89),3)</f>
        <v>246.62799999999999</v>
      </c>
      <c r="L89" s="3043"/>
      <c r="M89" s="2110"/>
      <c r="N89" s="2110"/>
      <c r="O89" s="3861"/>
    </row>
    <row r="90" spans="1:15">
      <c r="A90" s="1700" t="s">
        <v>810</v>
      </c>
      <c r="B90" s="715"/>
      <c r="C90" s="1669">
        <v>365.51900000000001</v>
      </c>
      <c r="D90" s="1666"/>
      <c r="E90" s="1669">
        <v>30.414000000000001</v>
      </c>
      <c r="F90" s="1666"/>
      <c r="G90" s="1669">
        <v>0</v>
      </c>
      <c r="H90" s="1666"/>
      <c r="I90" s="1669">
        <v>-10.85</v>
      </c>
      <c r="J90" s="1698"/>
      <c r="K90" s="633">
        <f t="shared" si="4"/>
        <v>385.08300000000003</v>
      </c>
      <c r="L90" s="3043"/>
      <c r="M90" s="2110"/>
      <c r="N90" s="2110"/>
      <c r="O90" s="3861"/>
    </row>
    <row r="91" spans="1:15">
      <c r="A91" s="428" t="s">
        <v>297</v>
      </c>
      <c r="B91" s="715"/>
      <c r="C91" s="433">
        <f>ROUND(SUM(C28:C90),3)</f>
        <v>6625.6009999999997</v>
      </c>
      <c r="D91" s="432"/>
      <c r="E91" s="433">
        <f>ROUND(SUM(E28:E90),3)</f>
        <v>3692.8490000000002</v>
      </c>
      <c r="F91" s="432"/>
      <c r="G91" s="433">
        <f>ROUND(SUM(G28:G90),3)</f>
        <v>3322.24</v>
      </c>
      <c r="H91" s="432"/>
      <c r="I91" s="433">
        <f>ROUND(SUM(I28:I90),3)</f>
        <v>5.5789999999999997</v>
      </c>
      <c r="J91" s="432"/>
      <c r="K91" s="433">
        <f>ROUND(SUM(K28:K90),3)</f>
        <v>7001.7889999999998</v>
      </c>
      <c r="L91" s="2112"/>
      <c r="M91" s="2973"/>
      <c r="N91" s="2110"/>
      <c r="O91" s="3861"/>
    </row>
    <row r="92" spans="1:15" ht="11.25" customHeight="1">
      <c r="A92" s="715"/>
      <c r="B92" s="715"/>
      <c r="C92" s="717"/>
      <c r="D92" s="715"/>
      <c r="E92" s="717"/>
      <c r="F92" s="715"/>
      <c r="G92" s="717"/>
      <c r="H92" s="715"/>
      <c r="I92" s="717"/>
      <c r="J92" s="715"/>
      <c r="K92" s="717"/>
      <c r="L92" s="717"/>
      <c r="M92" s="2110"/>
      <c r="N92" s="2110"/>
      <c r="O92" s="3861"/>
    </row>
    <row r="93" spans="1:15">
      <c r="A93" s="429" t="s">
        <v>298</v>
      </c>
      <c r="B93" s="715"/>
      <c r="C93" s="715"/>
      <c r="D93" s="715"/>
      <c r="E93" s="715"/>
      <c r="F93" s="715"/>
      <c r="G93" s="715"/>
      <c r="H93" s="715"/>
      <c r="I93" s="715"/>
      <c r="J93" s="715"/>
      <c r="K93" s="715"/>
      <c r="L93" s="717"/>
      <c r="M93" s="2110"/>
      <c r="N93" s="2110"/>
      <c r="O93" s="3861"/>
    </row>
    <row r="94" spans="1:15">
      <c r="A94" s="715" t="s">
        <v>870</v>
      </c>
      <c r="B94" s="715"/>
      <c r="C94" s="1669">
        <v>-49.811999999999998</v>
      </c>
      <c r="D94" s="1666"/>
      <c r="E94" s="1669">
        <v>149.89699999999999</v>
      </c>
      <c r="F94" s="1666"/>
      <c r="G94" s="1669">
        <v>140.96700000000001</v>
      </c>
      <c r="H94" s="1666"/>
      <c r="I94" s="1669">
        <v>0</v>
      </c>
      <c r="J94" s="1698"/>
      <c r="K94" s="633">
        <f t="shared" ref="K94:K100" si="5">ROUND(SUM(C94)+SUM(E94)-SUM(G94)+SUM(I94),3)</f>
        <v>-40.881999999999998</v>
      </c>
      <c r="L94" s="718"/>
      <c r="M94" s="2110"/>
      <c r="N94" s="2110"/>
      <c r="O94" s="3861"/>
    </row>
    <row r="95" spans="1:15">
      <c r="A95" s="715" t="s">
        <v>299</v>
      </c>
      <c r="B95" s="715"/>
      <c r="C95" s="1669">
        <v>6647.9780000000001</v>
      </c>
      <c r="D95" s="1666"/>
      <c r="E95" s="1669">
        <v>4394.3029999999999</v>
      </c>
      <c r="F95" s="1666"/>
      <c r="G95" s="1669">
        <v>4961.4399999999996</v>
      </c>
      <c r="H95" s="1666"/>
      <c r="I95" s="1669">
        <v>-126.617</v>
      </c>
      <c r="J95" s="1698"/>
      <c r="K95" s="633">
        <f t="shared" si="5"/>
        <v>5954.2240000000002</v>
      </c>
      <c r="L95" s="718"/>
      <c r="M95" s="2110"/>
      <c r="N95" s="2110"/>
      <c r="O95" s="3861"/>
    </row>
    <row r="96" spans="1:15">
      <c r="A96" s="715" t="s">
        <v>300</v>
      </c>
      <c r="B96" s="430"/>
      <c r="C96" s="1669">
        <v>-113.34699999999999</v>
      </c>
      <c r="D96" s="1666"/>
      <c r="E96" s="1669">
        <v>461.60199999999998</v>
      </c>
      <c r="F96" s="1666"/>
      <c r="G96" s="1669">
        <v>406.42099999999999</v>
      </c>
      <c r="H96" s="1666"/>
      <c r="I96" s="1669">
        <v>-10.634</v>
      </c>
      <c r="J96" s="1698"/>
      <c r="K96" s="633">
        <f t="shared" si="5"/>
        <v>-68.8</v>
      </c>
      <c r="L96" s="718"/>
      <c r="M96" s="2110"/>
      <c r="N96" s="2110"/>
      <c r="O96" s="3861"/>
    </row>
    <row r="97" spans="1:15">
      <c r="A97" s="715" t="s">
        <v>1478</v>
      </c>
      <c r="B97" s="715"/>
      <c r="C97" s="1669">
        <v>13988.052000000001</v>
      </c>
      <c r="D97" s="1666"/>
      <c r="E97" s="1669">
        <v>533.04100000000005</v>
      </c>
      <c r="F97" s="1666"/>
      <c r="G97" s="1669">
        <v>641.53300000000002</v>
      </c>
      <c r="H97" s="1666"/>
      <c r="I97" s="1669">
        <v>-3.0000000000000001E-3</v>
      </c>
      <c r="J97" s="1698"/>
      <c r="K97" s="633">
        <f t="shared" si="5"/>
        <v>13879.557000000001</v>
      </c>
      <c r="L97" s="718"/>
      <c r="M97" s="720"/>
      <c r="O97" s="3861"/>
    </row>
    <row r="98" spans="1:15">
      <c r="A98" s="715" t="s">
        <v>301</v>
      </c>
      <c r="B98" s="715"/>
      <c r="C98" s="1669">
        <v>107.071</v>
      </c>
      <c r="D98" s="1666"/>
      <c r="E98" s="1669">
        <v>34.843000000000004</v>
      </c>
      <c r="F98" s="1666"/>
      <c r="G98" s="1669">
        <v>29.31</v>
      </c>
      <c r="H98" s="1666"/>
      <c r="I98" s="1669">
        <v>0</v>
      </c>
      <c r="J98" s="1698"/>
      <c r="K98" s="633">
        <f t="shared" si="5"/>
        <v>112.604</v>
      </c>
      <c r="L98" s="718"/>
      <c r="M98" s="2110"/>
      <c r="N98" s="2110"/>
      <c r="O98" s="3861"/>
    </row>
    <row r="99" spans="1:15">
      <c r="A99" s="715" t="s">
        <v>1477</v>
      </c>
      <c r="B99" s="715"/>
      <c r="C99" s="1669">
        <v>-0.57999999999999996</v>
      </c>
      <c r="D99" s="1666"/>
      <c r="E99" s="1669">
        <v>0.51900000000000002</v>
      </c>
      <c r="F99" s="1666"/>
      <c r="G99" s="1669">
        <v>0.45900000000000002</v>
      </c>
      <c r="H99" s="1666"/>
      <c r="I99" s="1669">
        <v>0</v>
      </c>
      <c r="J99" s="1698"/>
      <c r="K99" s="633">
        <f t="shared" si="5"/>
        <v>-0.52</v>
      </c>
      <c r="L99" s="718"/>
      <c r="M99" s="2110"/>
      <c r="N99" s="2110"/>
      <c r="O99" s="3861"/>
    </row>
    <row r="100" spans="1:15">
      <c r="A100" s="716" t="s">
        <v>302</v>
      </c>
      <c r="B100" s="715"/>
      <c r="C100" s="1669">
        <v>-1.236</v>
      </c>
      <c r="D100" s="1666"/>
      <c r="E100" s="1669">
        <v>7.1890000000000001</v>
      </c>
      <c r="F100" s="1666"/>
      <c r="G100" s="1669">
        <v>11.811999999999999</v>
      </c>
      <c r="H100" s="1666"/>
      <c r="I100" s="1669">
        <v>0</v>
      </c>
      <c r="J100" s="1698"/>
      <c r="K100" s="633">
        <f t="shared" si="5"/>
        <v>-5.859</v>
      </c>
      <c r="L100" s="718"/>
      <c r="M100" s="2110"/>
      <c r="N100" s="2110"/>
      <c r="O100" s="3861"/>
    </row>
    <row r="101" spans="1:15">
      <c r="A101" s="428" t="s">
        <v>303</v>
      </c>
      <c r="B101" s="715"/>
      <c r="C101" s="433">
        <f>ROUND(SUM(C94:C100),3)</f>
        <v>20578.126</v>
      </c>
      <c r="D101" s="432"/>
      <c r="E101" s="433">
        <f>ROUND(SUM(E94:E100),3)</f>
        <v>5581.3940000000002</v>
      </c>
      <c r="F101" s="432"/>
      <c r="G101" s="433">
        <f>ROUND(SUM(G94:G100),3)</f>
        <v>6191.942</v>
      </c>
      <c r="H101" s="432"/>
      <c r="I101" s="433">
        <f>ROUND(SUM(I94:I100),3)</f>
        <v>-137.25399999999999</v>
      </c>
      <c r="J101" s="432"/>
      <c r="K101" s="433">
        <f>ROUND(SUM(K94:K100),3)</f>
        <v>19830.324000000001</v>
      </c>
      <c r="L101" s="434"/>
      <c r="M101" s="2110"/>
      <c r="N101" s="2110"/>
      <c r="O101" s="3861"/>
    </row>
    <row r="102" spans="1:15" ht="12" customHeight="1">
      <c r="A102" s="432"/>
      <c r="B102" s="715"/>
      <c r="C102" s="717"/>
      <c r="D102" s="715"/>
      <c r="E102" s="717"/>
      <c r="F102" s="715"/>
      <c r="G102" s="717"/>
      <c r="H102" s="715"/>
      <c r="I102" s="717"/>
      <c r="J102" s="715"/>
      <c r="K102" s="717"/>
      <c r="L102" s="717"/>
      <c r="M102" s="2110"/>
      <c r="N102" s="2110"/>
      <c r="O102" s="3861"/>
    </row>
    <row r="103" spans="1:15">
      <c r="A103" s="2975" t="s">
        <v>304</v>
      </c>
      <c r="B103" s="715"/>
      <c r="C103" s="2193">
        <f>C101+C91</f>
        <v>27203.726999999999</v>
      </c>
      <c r="D103" s="432"/>
      <c r="E103" s="2193">
        <f>E91+E101</f>
        <v>9274.2430000000004</v>
      </c>
      <c r="F103" s="432"/>
      <c r="G103" s="2193">
        <f>G91+G101</f>
        <v>9514.1820000000007</v>
      </c>
      <c r="H103" s="432"/>
      <c r="I103" s="2193">
        <f>I91+I101</f>
        <v>-131.67499999999998</v>
      </c>
      <c r="J103" s="432"/>
      <c r="K103" s="2193">
        <f>K91+K101</f>
        <v>26832.113000000001</v>
      </c>
      <c r="L103" s="434"/>
      <c r="M103" s="2973"/>
      <c r="N103" s="2973"/>
      <c r="O103" s="3861"/>
    </row>
    <row r="104" spans="1:15" ht="10.5" customHeight="1">
      <c r="A104" s="2976"/>
      <c r="B104" s="715"/>
      <c r="C104" s="717"/>
      <c r="D104" s="715"/>
      <c r="E104" s="717"/>
      <c r="F104" s="715"/>
      <c r="G104" s="717"/>
      <c r="H104" s="715"/>
      <c r="I104" s="717"/>
      <c r="J104" s="715"/>
      <c r="K104" s="717"/>
      <c r="L104" s="717"/>
      <c r="M104" s="2110"/>
      <c r="N104" s="2110"/>
      <c r="O104" s="3861"/>
    </row>
    <row r="105" spans="1:15">
      <c r="A105" s="429" t="s">
        <v>183</v>
      </c>
      <c r="B105" s="715"/>
      <c r="C105" s="715"/>
      <c r="D105" s="715"/>
      <c r="E105" s="672"/>
      <c r="F105" s="672"/>
      <c r="G105" s="672"/>
      <c r="H105" s="672"/>
      <c r="I105" s="672"/>
      <c r="J105" s="430"/>
      <c r="K105" s="672"/>
      <c r="L105" s="717"/>
      <c r="M105" s="2110"/>
      <c r="N105" s="2110"/>
      <c r="O105" s="3861"/>
    </row>
    <row r="106" spans="1:15">
      <c r="A106" s="715" t="s">
        <v>305</v>
      </c>
      <c r="B106" s="715"/>
      <c r="C106" s="1669">
        <v>0</v>
      </c>
      <c r="D106" s="1666"/>
      <c r="E106" s="1669">
        <v>0</v>
      </c>
      <c r="F106" s="1666"/>
      <c r="G106" s="1669">
        <v>0</v>
      </c>
      <c r="H106" s="1666"/>
      <c r="I106" s="1669">
        <v>0</v>
      </c>
      <c r="J106" s="1698"/>
      <c r="K106" s="633">
        <f t="shared" ref="K106:K112" si="6">ROUND(SUM(C106)+SUM(E106)-SUM(G106)+SUM(I106),3)</f>
        <v>0</v>
      </c>
      <c r="L106" s="2113"/>
      <c r="O106" s="3861"/>
    </row>
    <row r="107" spans="1:15">
      <c r="A107" s="715" t="s">
        <v>306</v>
      </c>
      <c r="B107" s="715"/>
      <c r="C107" s="1669">
        <v>81.174000000000007</v>
      </c>
      <c r="D107" s="1666"/>
      <c r="E107" s="1669">
        <v>36.008000000000003</v>
      </c>
      <c r="F107" s="1666"/>
      <c r="G107" s="1669">
        <v>0</v>
      </c>
      <c r="H107" s="1666"/>
      <c r="I107" s="1669">
        <v>19.708000000000002</v>
      </c>
      <c r="J107" s="1698"/>
      <c r="K107" s="633">
        <f t="shared" si="6"/>
        <v>136.88999999999999</v>
      </c>
      <c r="L107" s="718"/>
      <c r="M107" s="2110"/>
      <c r="N107" s="2110"/>
      <c r="O107" s="3861"/>
    </row>
    <row r="108" spans="1:15">
      <c r="A108" s="715" t="s">
        <v>307</v>
      </c>
      <c r="B108" s="715"/>
      <c r="C108" s="1669">
        <v>228.06</v>
      </c>
      <c r="D108" s="1666"/>
      <c r="E108" s="1669">
        <v>6362.4129999999996</v>
      </c>
      <c r="F108" s="1666"/>
      <c r="G108" s="1669">
        <v>7.5810000000000004</v>
      </c>
      <c r="H108" s="1666"/>
      <c r="I108" s="1669">
        <v>-703.99400000000003</v>
      </c>
      <c r="J108" s="1698"/>
      <c r="K108" s="633">
        <f t="shared" si="6"/>
        <v>5878.8980000000001</v>
      </c>
      <c r="L108" s="718"/>
      <c r="M108" s="2110"/>
      <c r="N108" s="2110"/>
      <c r="O108" s="3861"/>
    </row>
    <row r="109" spans="1:15">
      <c r="A109" s="715" t="s">
        <v>308</v>
      </c>
      <c r="B109" s="715"/>
      <c r="C109" s="1669">
        <v>0</v>
      </c>
      <c r="D109" s="1666"/>
      <c r="E109" s="1669">
        <v>2.3E-2</v>
      </c>
      <c r="F109" s="1666"/>
      <c r="G109" s="1669">
        <v>0</v>
      </c>
      <c r="H109" s="1666"/>
      <c r="I109" s="1669">
        <v>-2.3E-2</v>
      </c>
      <c r="J109" s="1698"/>
      <c r="K109" s="633">
        <f t="shared" si="6"/>
        <v>0</v>
      </c>
      <c r="L109" s="2113"/>
      <c r="M109" s="2110"/>
      <c r="N109" s="2110"/>
      <c r="O109" s="3861"/>
    </row>
    <row r="110" spans="1:15">
      <c r="A110" s="715" t="s">
        <v>309</v>
      </c>
      <c r="B110" s="715"/>
      <c r="C110" s="1669">
        <v>19.236000000000001</v>
      </c>
      <c r="D110" s="1666"/>
      <c r="E110" s="1669">
        <v>12.622</v>
      </c>
      <c r="F110" s="1666"/>
      <c r="G110" s="1669">
        <v>0</v>
      </c>
      <c r="H110" s="1666"/>
      <c r="I110" s="1669">
        <v>-8.6020000000000003</v>
      </c>
      <c r="J110" s="1698"/>
      <c r="K110" s="633">
        <f t="shared" si="6"/>
        <v>23.256</v>
      </c>
      <c r="L110" s="718"/>
      <c r="M110" s="2110"/>
      <c r="N110" s="2110" t="s">
        <v>14</v>
      </c>
      <c r="O110" s="3861"/>
    </row>
    <row r="111" spans="1:15">
      <c r="A111" s="715" t="s">
        <v>310</v>
      </c>
      <c r="B111" s="715"/>
      <c r="C111" s="1669">
        <v>14.71</v>
      </c>
      <c r="D111" s="1666"/>
      <c r="E111" s="1669">
        <v>167.172</v>
      </c>
      <c r="F111" s="1666"/>
      <c r="G111" s="1669">
        <v>0</v>
      </c>
      <c r="H111" s="1666"/>
      <c r="I111" s="1669">
        <v>-163.70099999999999</v>
      </c>
      <c r="J111" s="1698"/>
      <c r="K111" s="633">
        <f t="shared" si="6"/>
        <v>18.181000000000001</v>
      </c>
      <c r="L111" s="718" t="s">
        <v>14</v>
      </c>
      <c r="M111" s="2110"/>
      <c r="N111" s="2110" t="s">
        <v>14</v>
      </c>
      <c r="O111" s="3861"/>
    </row>
    <row r="112" spans="1:15">
      <c r="A112" s="716" t="s">
        <v>311</v>
      </c>
      <c r="B112" s="715"/>
      <c r="C112" s="1669">
        <v>0</v>
      </c>
      <c r="D112" s="1666"/>
      <c r="E112" s="1669">
        <v>346.62299999999999</v>
      </c>
      <c r="F112" s="1666"/>
      <c r="G112" s="1669">
        <v>0</v>
      </c>
      <c r="H112" s="1666"/>
      <c r="I112" s="1669">
        <v>-346.62299999999999</v>
      </c>
      <c r="J112" s="1698"/>
      <c r="K112" s="633">
        <f t="shared" si="6"/>
        <v>0</v>
      </c>
      <c r="L112" s="718" t="s">
        <v>14</v>
      </c>
      <c r="M112" s="2110"/>
      <c r="N112" s="2110" t="s">
        <v>14</v>
      </c>
      <c r="O112" s="3861"/>
    </row>
    <row r="113" spans="1:15">
      <c r="A113" s="2977" t="s">
        <v>312</v>
      </c>
      <c r="B113" s="2978"/>
      <c r="C113" s="433">
        <f>ROUND(SUM(C106:C112),3)</f>
        <v>343.18</v>
      </c>
      <c r="D113" s="435"/>
      <c r="E113" s="433">
        <f>ROUND(SUM(E106:E112),3)</f>
        <v>6924.8609999999999</v>
      </c>
      <c r="F113" s="435"/>
      <c r="G113" s="433">
        <f>ROUND(SUM(G106:G112),3)</f>
        <v>7.5810000000000004</v>
      </c>
      <c r="H113" s="435"/>
      <c r="I113" s="433">
        <f>ROUND(SUM(I106:I112),3)</f>
        <v>-1203.2349999999999</v>
      </c>
      <c r="J113" s="435"/>
      <c r="K113" s="433">
        <f>ROUND(SUM(K106:K112),3)</f>
        <v>6057.2250000000004</v>
      </c>
      <c r="L113" s="434" t="s">
        <v>14</v>
      </c>
      <c r="M113" s="2973"/>
      <c r="N113" s="2110" t="s">
        <v>14</v>
      </c>
      <c r="O113" s="3861"/>
    </row>
    <row r="114" spans="1:15">
      <c r="A114" s="715"/>
      <c r="B114" s="715"/>
      <c r="C114" s="717"/>
      <c r="D114" s="715"/>
      <c r="E114" s="717"/>
      <c r="F114" s="715"/>
      <c r="G114" s="717"/>
      <c r="H114" s="715"/>
      <c r="I114" s="717"/>
      <c r="J114" s="715"/>
      <c r="K114" s="717" t="s">
        <v>14</v>
      </c>
      <c r="L114" s="717"/>
      <c r="M114" s="2110"/>
      <c r="N114" s="2110" t="s">
        <v>14</v>
      </c>
      <c r="O114" s="3861"/>
    </row>
    <row r="115" spans="1:15">
      <c r="A115" s="2979" t="s">
        <v>841</v>
      </c>
      <c r="B115" s="715"/>
      <c r="K115" s="719"/>
      <c r="L115" s="718"/>
      <c r="M115" s="2110"/>
      <c r="N115" s="2110"/>
      <c r="O115" s="3861"/>
    </row>
    <row r="116" spans="1:15">
      <c r="A116" s="715" t="s">
        <v>313</v>
      </c>
      <c r="B116" s="1698"/>
      <c r="C116" s="1669">
        <v>0</v>
      </c>
      <c r="D116" s="1666"/>
      <c r="E116" s="1669">
        <v>117.919</v>
      </c>
      <c r="F116" s="1666"/>
      <c r="G116" s="3828">
        <v>409.69299999999998</v>
      </c>
      <c r="H116" s="1666"/>
      <c r="I116" s="1669">
        <v>291.774</v>
      </c>
      <c r="J116" s="1698"/>
      <c r="K116" s="633">
        <f>ROUND(SUM(C116)+SUM(E116)-SUM(G116)+SUM(I116),3)</f>
        <v>0</v>
      </c>
      <c r="L116" s="2113"/>
      <c r="M116" s="2110"/>
      <c r="N116" s="720"/>
      <c r="O116" s="3861"/>
    </row>
    <row r="117" spans="1:15">
      <c r="A117" s="715" t="s">
        <v>314</v>
      </c>
      <c r="B117" s="716"/>
      <c r="C117" s="1669">
        <v>122.989</v>
      </c>
      <c r="D117" s="1666"/>
      <c r="E117" s="3828">
        <v>151.79</v>
      </c>
      <c r="F117" s="1666"/>
      <c r="G117" s="1669">
        <v>146.15600000000001</v>
      </c>
      <c r="H117" s="1666"/>
      <c r="I117" s="3828">
        <v>-7.5810000000000004</v>
      </c>
      <c r="J117" s="3858"/>
      <c r="K117" s="3829">
        <f t="shared" ref="K117:K131" si="7">ROUND(SUM(C117)+SUM(E117)-SUM(G117)+SUM(I117),3)</f>
        <v>121.042</v>
      </c>
      <c r="L117" s="718"/>
      <c r="M117" s="2110"/>
      <c r="N117" s="2110"/>
      <c r="O117" s="3861"/>
    </row>
    <row r="118" spans="1:15">
      <c r="A118" s="715" t="s">
        <v>315</v>
      </c>
      <c r="B118" s="715"/>
      <c r="C118" s="1669">
        <v>152.30199999999999</v>
      </c>
      <c r="D118" s="1666"/>
      <c r="E118" s="1669">
        <v>8.9999999999999993E-3</v>
      </c>
      <c r="F118" s="1666"/>
      <c r="G118" s="1669">
        <v>0.75800000000000001</v>
      </c>
      <c r="H118" s="1666"/>
      <c r="I118" s="1669">
        <v>0</v>
      </c>
      <c r="J118" s="1698"/>
      <c r="K118" s="633">
        <f t="shared" si="7"/>
        <v>151.553</v>
      </c>
      <c r="L118" s="718"/>
      <c r="M118" s="2110"/>
      <c r="N118" s="2110"/>
      <c r="O118" s="3861"/>
    </row>
    <row r="119" spans="1:15">
      <c r="A119" s="715" t="s">
        <v>316</v>
      </c>
      <c r="B119" s="715"/>
      <c r="C119" s="1669">
        <v>18.18</v>
      </c>
      <c r="D119" s="1666"/>
      <c r="E119" s="1669">
        <v>2E-3</v>
      </c>
      <c r="F119" s="1666"/>
      <c r="G119" s="1669">
        <v>0</v>
      </c>
      <c r="H119" s="1666"/>
      <c r="I119" s="1669">
        <v>0</v>
      </c>
      <c r="J119" s="1698"/>
      <c r="K119" s="633">
        <f t="shared" si="7"/>
        <v>18.181999999999999</v>
      </c>
      <c r="L119" s="718"/>
      <c r="M119" s="2110"/>
      <c r="N119" s="2110"/>
      <c r="O119" s="3861"/>
    </row>
    <row r="120" spans="1:15">
      <c r="A120" s="715" t="s">
        <v>317</v>
      </c>
      <c r="B120" s="715"/>
      <c r="C120" s="1669">
        <v>-30.372</v>
      </c>
      <c r="D120" s="1666"/>
      <c r="E120" s="1669">
        <v>5.0000000000000001E-3</v>
      </c>
      <c r="F120" s="1666"/>
      <c r="G120" s="1669">
        <v>8.2550000000000008</v>
      </c>
      <c r="H120" s="1666"/>
      <c r="I120" s="1669">
        <v>0</v>
      </c>
      <c r="J120" s="1698"/>
      <c r="K120" s="633">
        <f t="shared" si="7"/>
        <v>-38.622</v>
      </c>
      <c r="L120" s="718"/>
      <c r="M120" s="2110"/>
      <c r="N120" s="2110"/>
      <c r="O120" s="3861"/>
    </row>
    <row r="121" spans="1:15">
      <c r="A121" s="715" t="s">
        <v>318</v>
      </c>
      <c r="B121" s="715"/>
      <c r="C121" s="1669">
        <v>1.4999999999999999E-2</v>
      </c>
      <c r="D121" s="1666"/>
      <c r="E121" s="1669">
        <v>0</v>
      </c>
      <c r="F121" s="1666"/>
      <c r="G121" s="1669">
        <v>0</v>
      </c>
      <c r="H121" s="1666"/>
      <c r="I121" s="1669">
        <v>0</v>
      </c>
      <c r="J121" s="1698"/>
      <c r="K121" s="633">
        <f t="shared" si="7"/>
        <v>1.4999999999999999E-2</v>
      </c>
      <c r="L121" s="718"/>
      <c r="M121" s="2110"/>
      <c r="N121" s="2110"/>
      <c r="O121" s="3861"/>
    </row>
    <row r="122" spans="1:15">
      <c r="A122" s="715" t="s">
        <v>319</v>
      </c>
      <c r="B122" s="715"/>
      <c r="C122" s="1669">
        <v>90.822999999999993</v>
      </c>
      <c r="D122" s="1666"/>
      <c r="E122" s="1669">
        <v>11.801</v>
      </c>
      <c r="F122" s="1666"/>
      <c r="G122" s="1669">
        <v>14.988</v>
      </c>
      <c r="H122" s="1666"/>
      <c r="I122" s="1669">
        <v>0</v>
      </c>
      <c r="J122" s="1698"/>
      <c r="K122" s="633">
        <f t="shared" si="7"/>
        <v>87.635999999999996</v>
      </c>
      <c r="L122" s="718"/>
      <c r="M122" s="2110"/>
      <c r="N122" s="2110"/>
      <c r="O122" s="3861"/>
    </row>
    <row r="123" spans="1:15">
      <c r="A123" s="715" t="s">
        <v>320</v>
      </c>
      <c r="B123" s="715"/>
      <c r="C123" s="1669">
        <v>0</v>
      </c>
      <c r="D123" s="1666"/>
      <c r="E123" s="1669">
        <v>0</v>
      </c>
      <c r="F123" s="1666"/>
      <c r="G123" s="1669">
        <v>0</v>
      </c>
      <c r="H123" s="1666"/>
      <c r="I123" s="1669">
        <v>0</v>
      </c>
      <c r="J123" s="1698"/>
      <c r="K123" s="633">
        <f t="shared" si="7"/>
        <v>0</v>
      </c>
      <c r="L123" s="718"/>
      <c r="M123" s="2110"/>
      <c r="N123" s="2110"/>
      <c r="O123" s="3861"/>
    </row>
    <row r="124" spans="1:15">
      <c r="A124" s="715" t="s">
        <v>321</v>
      </c>
      <c r="B124" s="715"/>
      <c r="C124" s="1669">
        <v>0.16400000000000001</v>
      </c>
      <c r="D124" s="1666"/>
      <c r="E124" s="1669">
        <v>0</v>
      </c>
      <c r="F124" s="1666"/>
      <c r="G124" s="1669">
        <v>0</v>
      </c>
      <c r="H124" s="1666"/>
      <c r="I124" s="1669">
        <v>0</v>
      </c>
      <c r="J124" s="1698"/>
      <c r="K124" s="633">
        <f t="shared" si="7"/>
        <v>0.16400000000000001</v>
      </c>
      <c r="L124" s="718"/>
      <c r="M124" s="2110"/>
      <c r="N124" s="2110"/>
      <c r="O124" s="3861"/>
    </row>
    <row r="125" spans="1:15">
      <c r="A125" s="715" t="s">
        <v>869</v>
      </c>
      <c r="B125" s="715"/>
      <c r="C125" s="1669">
        <v>0</v>
      </c>
      <c r="D125" s="1666"/>
      <c r="E125" s="1669">
        <v>0</v>
      </c>
      <c r="F125" s="1666"/>
      <c r="G125" s="1669">
        <v>0</v>
      </c>
      <c r="H125" s="1666"/>
      <c r="I125" s="1669">
        <v>0</v>
      </c>
      <c r="J125" s="1698"/>
      <c r="K125" s="633">
        <f t="shared" si="7"/>
        <v>0</v>
      </c>
      <c r="L125" s="718"/>
      <c r="M125" s="2110"/>
      <c r="N125" s="2110"/>
      <c r="O125" s="3861"/>
    </row>
    <row r="126" spans="1:15">
      <c r="A126" s="715" t="s">
        <v>322</v>
      </c>
      <c r="B126" s="715"/>
      <c r="C126" s="1669">
        <v>0.66800000000000004</v>
      </c>
      <c r="D126" s="1666"/>
      <c r="E126" s="1669">
        <v>0</v>
      </c>
      <c r="F126" s="1666"/>
      <c r="G126" s="1669">
        <v>0</v>
      </c>
      <c r="H126" s="1666"/>
      <c r="I126" s="1669">
        <v>0</v>
      </c>
      <c r="J126" s="1698"/>
      <c r="K126" s="633">
        <f t="shared" si="7"/>
        <v>0.66800000000000004</v>
      </c>
      <c r="L126" s="718"/>
      <c r="M126" s="2110"/>
      <c r="N126" s="2110"/>
      <c r="O126" s="3861"/>
    </row>
    <row r="127" spans="1:15">
      <c r="A127" s="715" t="s">
        <v>323</v>
      </c>
      <c r="B127" s="715"/>
      <c r="C127" s="1669">
        <v>3.3279999999999998</v>
      </c>
      <c r="D127" s="1666"/>
      <c r="E127" s="1669">
        <v>0</v>
      </c>
      <c r="F127" s="1666"/>
      <c r="G127" s="1669">
        <v>0</v>
      </c>
      <c r="H127" s="1666"/>
      <c r="I127" s="1669">
        <v>0</v>
      </c>
      <c r="J127" s="1698"/>
      <c r="K127" s="633">
        <f t="shared" si="7"/>
        <v>3.3279999999999998</v>
      </c>
      <c r="L127" s="718"/>
      <c r="M127" s="2110"/>
      <c r="N127" s="2110"/>
      <c r="O127" s="3861"/>
    </row>
    <row r="128" spans="1:15">
      <c r="A128" s="715" t="s">
        <v>324</v>
      </c>
      <c r="B128" s="715"/>
      <c r="C128" s="1669">
        <v>1.419</v>
      </c>
      <c r="D128" s="1666"/>
      <c r="E128" s="1669">
        <v>0</v>
      </c>
      <c r="F128" s="1666"/>
      <c r="G128" s="1669">
        <v>0</v>
      </c>
      <c r="H128" s="1666"/>
      <c r="I128" s="1669">
        <v>0</v>
      </c>
      <c r="J128" s="1698"/>
      <c r="K128" s="633">
        <f t="shared" si="7"/>
        <v>1.419</v>
      </c>
      <c r="L128" s="718"/>
      <c r="M128" s="2110"/>
      <c r="N128" s="2110"/>
      <c r="O128" s="3861"/>
    </row>
    <row r="129" spans="1:15">
      <c r="A129" s="715" t="s">
        <v>325</v>
      </c>
      <c r="B129" s="715"/>
      <c r="C129" s="1669">
        <v>17.21</v>
      </c>
      <c r="D129" s="1666"/>
      <c r="E129" s="1669">
        <v>0</v>
      </c>
      <c r="F129" s="1666"/>
      <c r="G129" s="1669">
        <v>0</v>
      </c>
      <c r="H129" s="1666"/>
      <c r="I129" s="1669">
        <v>0</v>
      </c>
      <c r="J129" s="1698"/>
      <c r="K129" s="633">
        <f t="shared" si="7"/>
        <v>17.21</v>
      </c>
      <c r="L129" s="718"/>
      <c r="M129" s="2110"/>
      <c r="N129" s="2110"/>
      <c r="O129" s="3861"/>
    </row>
    <row r="130" spans="1:15">
      <c r="A130" s="715" t="s">
        <v>326</v>
      </c>
      <c r="B130" s="715"/>
      <c r="C130" s="1669">
        <v>4.2549999999999999</v>
      </c>
      <c r="D130" s="1666"/>
      <c r="E130" s="1669">
        <v>0</v>
      </c>
      <c r="F130" s="1666"/>
      <c r="G130" s="1669">
        <v>0</v>
      </c>
      <c r="H130" s="1666"/>
      <c r="I130" s="1669">
        <v>0</v>
      </c>
      <c r="J130" s="1698"/>
      <c r="K130" s="633">
        <f t="shared" si="7"/>
        <v>4.2549999999999999</v>
      </c>
      <c r="L130" s="718"/>
      <c r="M130" s="2110"/>
      <c r="N130" s="720"/>
      <c r="O130" s="3861"/>
    </row>
    <row r="131" spans="1:15">
      <c r="A131" s="715" t="s">
        <v>327</v>
      </c>
      <c r="B131" s="715"/>
      <c r="C131" s="1669">
        <v>5.55</v>
      </c>
      <c r="D131" s="1666"/>
      <c r="E131" s="1669">
        <v>0</v>
      </c>
      <c r="F131" s="1666"/>
      <c r="G131" s="1669">
        <v>0</v>
      </c>
      <c r="H131" s="1666"/>
      <c r="I131" s="1669">
        <v>0</v>
      </c>
      <c r="J131" s="1698"/>
      <c r="K131" s="633">
        <f t="shared" si="7"/>
        <v>5.55</v>
      </c>
      <c r="L131" s="718"/>
      <c r="M131" s="2110"/>
      <c r="N131" s="2110"/>
      <c r="O131" s="3861"/>
    </row>
    <row r="132" spans="1:15">
      <c r="A132" s="715" t="s">
        <v>328</v>
      </c>
      <c r="B132" s="715"/>
      <c r="C132" s="3856"/>
      <c r="D132" s="1696"/>
      <c r="E132" s="1699"/>
      <c r="F132" s="1666"/>
      <c r="G132" s="1699" t="s">
        <v>14</v>
      </c>
      <c r="H132" s="1666"/>
      <c r="I132" s="1699"/>
      <c r="J132" s="715"/>
      <c r="K132" s="3857"/>
      <c r="L132" s="718"/>
      <c r="M132" s="2110"/>
      <c r="N132" s="2110"/>
      <c r="O132" s="3861"/>
    </row>
    <row r="133" spans="1:15">
      <c r="A133" s="715" t="s">
        <v>329</v>
      </c>
      <c r="B133" s="715"/>
      <c r="C133" s="1669">
        <v>2.778</v>
      </c>
      <c r="D133" s="1666"/>
      <c r="E133" s="1669">
        <v>0</v>
      </c>
      <c r="F133" s="1666"/>
      <c r="G133" s="1669">
        <v>0</v>
      </c>
      <c r="H133" s="1666"/>
      <c r="I133" s="1669">
        <v>0</v>
      </c>
      <c r="J133" s="1698"/>
      <c r="K133" s="633">
        <f t="shared" ref="K133:K154" si="8">ROUND(SUM(C133)+SUM(E133)-SUM(G133)+SUM(I133),3)</f>
        <v>2.778</v>
      </c>
      <c r="L133" s="718"/>
      <c r="M133" s="2110"/>
      <c r="N133" s="2110"/>
      <c r="O133" s="3861"/>
    </row>
    <row r="134" spans="1:15">
      <c r="A134" s="715" t="s">
        <v>330</v>
      </c>
      <c r="B134" s="715"/>
      <c r="C134" s="1669">
        <v>1.4279999999999999</v>
      </c>
      <c r="D134" s="1666"/>
      <c r="E134" s="1669">
        <v>0</v>
      </c>
      <c r="F134" s="1666"/>
      <c r="G134" s="1669">
        <v>0</v>
      </c>
      <c r="H134" s="1666"/>
      <c r="I134" s="1669">
        <v>0</v>
      </c>
      <c r="J134" s="1698"/>
      <c r="K134" s="633">
        <f t="shared" si="8"/>
        <v>1.4279999999999999</v>
      </c>
      <c r="L134" s="718"/>
      <c r="M134" s="2110"/>
      <c r="N134" s="2110"/>
      <c r="O134" s="3861"/>
    </row>
    <row r="135" spans="1:15">
      <c r="A135" s="715" t="s">
        <v>1106</v>
      </c>
      <c r="B135" s="715"/>
      <c r="C135" s="1669">
        <v>0</v>
      </c>
      <c r="D135" s="1666"/>
      <c r="E135" s="1669">
        <v>0</v>
      </c>
      <c r="F135" s="1666"/>
      <c r="G135" s="1669">
        <v>0</v>
      </c>
      <c r="H135" s="1666"/>
      <c r="I135" s="1669">
        <v>0</v>
      </c>
      <c r="J135" s="1698"/>
      <c r="K135" s="633">
        <f t="shared" si="8"/>
        <v>0</v>
      </c>
      <c r="L135" s="718"/>
      <c r="M135" s="2110"/>
      <c r="N135" s="2110"/>
      <c r="O135" s="3861"/>
    </row>
    <row r="136" spans="1:15">
      <c r="A136" s="715" t="s">
        <v>1176</v>
      </c>
      <c r="B136" s="715"/>
      <c r="C136" s="1669">
        <v>0</v>
      </c>
      <c r="D136" s="1666"/>
      <c r="E136" s="1669">
        <v>0</v>
      </c>
      <c r="F136" s="1666"/>
      <c r="G136" s="1669">
        <v>0</v>
      </c>
      <c r="H136" s="1666"/>
      <c r="I136" s="1669">
        <v>0</v>
      </c>
      <c r="J136" s="1698"/>
      <c r="K136" s="633">
        <f t="shared" si="8"/>
        <v>0</v>
      </c>
      <c r="L136" s="718"/>
      <c r="M136" s="2110"/>
      <c r="N136" s="2110"/>
      <c r="O136" s="3861"/>
    </row>
    <row r="137" spans="1:15">
      <c r="A137" s="715" t="s">
        <v>331</v>
      </c>
      <c r="B137" s="715"/>
      <c r="C137" s="1669">
        <v>0</v>
      </c>
      <c r="D137" s="1666"/>
      <c r="E137" s="1669">
        <v>0</v>
      </c>
      <c r="F137" s="1666"/>
      <c r="G137" s="1669">
        <v>0</v>
      </c>
      <c r="H137" s="1666"/>
      <c r="I137" s="1669">
        <v>0</v>
      </c>
      <c r="J137" s="1698"/>
      <c r="K137" s="633">
        <f t="shared" si="8"/>
        <v>0</v>
      </c>
      <c r="L137" s="718"/>
      <c r="M137" s="2110"/>
      <c r="N137" s="2110"/>
      <c r="O137" s="3861"/>
    </row>
    <row r="138" spans="1:15">
      <c r="A138" s="715" t="s">
        <v>332</v>
      </c>
      <c r="B138" s="715"/>
      <c r="C138" s="1669">
        <v>0</v>
      </c>
      <c r="D138" s="1666"/>
      <c r="E138" s="1669">
        <v>0</v>
      </c>
      <c r="F138" s="1666"/>
      <c r="G138" s="1669">
        <v>0</v>
      </c>
      <c r="H138" s="1666"/>
      <c r="I138" s="1669">
        <v>0</v>
      </c>
      <c r="J138" s="1698"/>
      <c r="K138" s="633">
        <f t="shared" si="8"/>
        <v>0</v>
      </c>
      <c r="L138" s="718"/>
      <c r="M138" s="2110"/>
      <c r="N138" s="2110"/>
      <c r="O138" s="3861"/>
    </row>
    <row r="139" spans="1:15">
      <c r="A139" s="715" t="s">
        <v>333</v>
      </c>
      <c r="B139" s="715"/>
      <c r="C139" s="1669">
        <v>-932.59400000000005</v>
      </c>
      <c r="D139" s="1666"/>
      <c r="E139" s="3828">
        <v>177.887</v>
      </c>
      <c r="F139" s="1666"/>
      <c r="G139" s="1669">
        <v>130.364</v>
      </c>
      <c r="H139" s="1666"/>
      <c r="I139" s="1669">
        <v>0</v>
      </c>
      <c r="J139" s="1698"/>
      <c r="K139" s="3829">
        <f t="shared" si="8"/>
        <v>-885.07100000000003</v>
      </c>
      <c r="L139" s="718"/>
      <c r="M139" s="2110"/>
      <c r="N139" s="2110"/>
      <c r="O139" s="3861"/>
    </row>
    <row r="140" spans="1:15">
      <c r="A140" s="715" t="s">
        <v>334</v>
      </c>
      <c r="B140" s="715"/>
      <c r="C140" s="1669">
        <v>1.083</v>
      </c>
      <c r="D140" s="1666"/>
      <c r="E140" s="1669">
        <v>0</v>
      </c>
      <c r="F140" s="1666"/>
      <c r="G140" s="1669">
        <v>0</v>
      </c>
      <c r="H140" s="1666"/>
      <c r="I140" s="1669">
        <v>0</v>
      </c>
      <c r="J140" s="1698"/>
      <c r="K140" s="633">
        <f t="shared" si="8"/>
        <v>1.083</v>
      </c>
      <c r="L140" s="2113"/>
      <c r="M140" s="2110"/>
      <c r="N140" s="720"/>
      <c r="O140" s="3861"/>
    </row>
    <row r="141" spans="1:15">
      <c r="A141" s="716" t="s">
        <v>335</v>
      </c>
      <c r="B141" s="715"/>
      <c r="C141" s="1669">
        <v>-85.701999999999998</v>
      </c>
      <c r="D141" s="1666"/>
      <c r="E141" s="1669">
        <v>1.0549999999999999</v>
      </c>
      <c r="F141" s="1666"/>
      <c r="G141" s="1669">
        <v>1.2130000000000001</v>
      </c>
      <c r="H141" s="1666"/>
      <c r="I141" s="1669">
        <v>-0.52500000000000002</v>
      </c>
      <c r="J141" s="1698"/>
      <c r="K141" s="633">
        <f t="shared" si="8"/>
        <v>-86.385000000000005</v>
      </c>
      <c r="L141" s="718"/>
      <c r="M141" s="2110"/>
      <c r="N141" s="2110"/>
      <c r="O141" s="3861"/>
    </row>
    <row r="142" spans="1:15">
      <c r="A142" s="715" t="s">
        <v>336</v>
      </c>
      <c r="B142" s="715"/>
      <c r="C142" s="1669">
        <v>0.54</v>
      </c>
      <c r="D142" s="1666"/>
      <c r="E142" s="1669">
        <v>0</v>
      </c>
      <c r="F142" s="1666"/>
      <c r="G142" s="1669">
        <v>0</v>
      </c>
      <c r="H142" s="1666"/>
      <c r="I142" s="1669">
        <v>0</v>
      </c>
      <c r="J142" s="1698"/>
      <c r="K142" s="633">
        <f t="shared" si="8"/>
        <v>0.54</v>
      </c>
      <c r="L142" s="718"/>
      <c r="M142" s="2110"/>
      <c r="N142" s="720"/>
      <c r="O142" s="3861"/>
    </row>
    <row r="143" spans="1:15">
      <c r="A143" s="715" t="s">
        <v>337</v>
      </c>
      <c r="B143" s="715"/>
      <c r="C143" s="1669">
        <v>-14.021000000000001</v>
      </c>
      <c r="D143" s="1666"/>
      <c r="E143" s="1669">
        <v>0</v>
      </c>
      <c r="F143" s="1666"/>
      <c r="G143" s="1669">
        <v>1.204</v>
      </c>
      <c r="H143" s="1666"/>
      <c r="I143" s="1669">
        <v>0</v>
      </c>
      <c r="J143" s="1698"/>
      <c r="K143" s="633">
        <f t="shared" si="8"/>
        <v>-15.225</v>
      </c>
      <c r="L143" s="718"/>
      <c r="M143" s="2110"/>
      <c r="N143" s="2110"/>
      <c r="O143" s="3861"/>
    </row>
    <row r="144" spans="1:15">
      <c r="A144" s="715" t="s">
        <v>338</v>
      </c>
      <c r="B144" s="715"/>
      <c r="C144" s="1669">
        <v>-12.942</v>
      </c>
      <c r="D144" s="1666"/>
      <c r="E144" s="1669">
        <v>0</v>
      </c>
      <c r="F144" s="1666"/>
      <c r="G144" s="1669">
        <v>0</v>
      </c>
      <c r="H144" s="1666"/>
      <c r="I144" s="1669">
        <v>0</v>
      </c>
      <c r="J144" s="1698"/>
      <c r="K144" s="633">
        <f t="shared" si="8"/>
        <v>-12.942</v>
      </c>
      <c r="L144" s="718"/>
      <c r="M144" s="2110"/>
      <c r="N144" s="2110"/>
      <c r="O144" s="3861"/>
    </row>
    <row r="145" spans="1:15">
      <c r="A145" s="715" t="s">
        <v>339</v>
      </c>
      <c r="B145" s="715"/>
      <c r="C145" s="1669">
        <v>-443.19400000000002</v>
      </c>
      <c r="D145" s="1666"/>
      <c r="E145" s="1669">
        <v>0</v>
      </c>
      <c r="F145" s="1666"/>
      <c r="G145" s="1669">
        <v>0.2</v>
      </c>
      <c r="H145" s="1666"/>
      <c r="I145" s="1669">
        <v>0</v>
      </c>
      <c r="J145" s="1698"/>
      <c r="K145" s="633">
        <f t="shared" si="8"/>
        <v>-443.39400000000001</v>
      </c>
      <c r="L145" s="718"/>
      <c r="M145" s="2110"/>
      <c r="N145" s="2110"/>
      <c r="O145" s="3861"/>
    </row>
    <row r="146" spans="1:15">
      <c r="A146" s="715" t="s">
        <v>340</v>
      </c>
      <c r="B146" s="715"/>
      <c r="C146" s="1669">
        <v>17.558</v>
      </c>
      <c r="D146" s="1666"/>
      <c r="E146" s="1669">
        <v>1.6E-2</v>
      </c>
      <c r="F146" s="1666"/>
      <c r="G146" s="3855">
        <v>0.05</v>
      </c>
      <c r="H146" s="1666"/>
      <c r="I146" s="1669">
        <v>0</v>
      </c>
      <c r="J146" s="1698"/>
      <c r="K146" s="633">
        <f t="shared" si="8"/>
        <v>17.524000000000001</v>
      </c>
      <c r="L146" s="718"/>
      <c r="M146" s="2110"/>
      <c r="N146" s="2110"/>
      <c r="O146" s="3861"/>
    </row>
    <row r="147" spans="1:15">
      <c r="A147" s="715" t="s">
        <v>876</v>
      </c>
      <c r="B147" s="715"/>
      <c r="C147" s="1669">
        <v>-11.952</v>
      </c>
      <c r="D147" s="1666"/>
      <c r="E147" s="1669">
        <v>0</v>
      </c>
      <c r="F147" s="1666"/>
      <c r="G147" s="1669">
        <v>0</v>
      </c>
      <c r="H147" s="1666"/>
      <c r="I147" s="1669">
        <v>0</v>
      </c>
      <c r="J147" s="1698"/>
      <c r="K147" s="633">
        <f t="shared" si="8"/>
        <v>-11.952</v>
      </c>
      <c r="L147" s="718"/>
      <c r="M147" s="2110"/>
      <c r="N147" s="2110"/>
      <c r="O147" s="3861"/>
    </row>
    <row r="148" spans="1:15">
      <c r="A148" s="715" t="s">
        <v>341</v>
      </c>
      <c r="B148" s="715"/>
      <c r="C148" s="1669">
        <v>141.267</v>
      </c>
      <c r="D148" s="1666"/>
      <c r="E148" s="1669">
        <v>5.6369999999999996</v>
      </c>
      <c r="F148" s="1666"/>
      <c r="G148" s="1669">
        <v>3.7130000000000001</v>
      </c>
      <c r="H148" s="1666"/>
      <c r="I148" s="1669">
        <v>9.3710000000000004</v>
      </c>
      <c r="J148" s="1698"/>
      <c r="K148" s="633">
        <f t="shared" si="8"/>
        <v>152.56200000000001</v>
      </c>
      <c r="L148" s="718"/>
      <c r="M148" s="2110"/>
      <c r="N148" s="2110"/>
      <c r="O148" s="3861"/>
    </row>
    <row r="149" spans="1:15">
      <c r="A149" s="715" t="s">
        <v>342</v>
      </c>
      <c r="B149" s="715"/>
      <c r="C149" s="1669">
        <v>0.06</v>
      </c>
      <c r="D149" s="1666"/>
      <c r="E149" s="1669">
        <v>0</v>
      </c>
      <c r="F149" s="1666"/>
      <c r="G149" s="1669">
        <v>0</v>
      </c>
      <c r="H149" s="1666"/>
      <c r="I149" s="1669">
        <v>0</v>
      </c>
      <c r="J149" s="1698"/>
      <c r="K149" s="633">
        <f t="shared" si="8"/>
        <v>0.06</v>
      </c>
      <c r="L149" s="718"/>
      <c r="M149" s="2110"/>
      <c r="N149" s="2110"/>
      <c r="O149" s="3861"/>
    </row>
    <row r="150" spans="1:15">
      <c r="A150" s="715" t="s">
        <v>343</v>
      </c>
      <c r="B150" s="715"/>
      <c r="C150" s="1669">
        <v>-500.73099999999999</v>
      </c>
      <c r="D150" s="1666"/>
      <c r="E150" s="1669">
        <v>1E-3</v>
      </c>
      <c r="F150" s="1666"/>
      <c r="G150" s="1669">
        <v>9.6690000000000005</v>
      </c>
      <c r="H150" s="1666"/>
      <c r="I150" s="1669">
        <v>0</v>
      </c>
      <c r="J150" s="1698"/>
      <c r="K150" s="633">
        <f t="shared" si="8"/>
        <v>-510.399</v>
      </c>
      <c r="L150" s="2113"/>
      <c r="M150" s="2110"/>
      <c r="N150" s="2110"/>
      <c r="O150" s="3861"/>
    </row>
    <row r="151" spans="1:15">
      <c r="A151" s="715" t="s">
        <v>344</v>
      </c>
      <c r="B151" s="715"/>
      <c r="C151" s="1669">
        <v>-250.61199999999999</v>
      </c>
      <c r="D151" s="1666"/>
      <c r="E151" s="1669">
        <v>0</v>
      </c>
      <c r="F151" s="1666"/>
      <c r="G151" s="3855">
        <v>24.369</v>
      </c>
      <c r="H151" s="1666"/>
      <c r="I151" s="1669">
        <v>0</v>
      </c>
      <c r="J151" s="1698"/>
      <c r="K151" s="633">
        <f t="shared" si="8"/>
        <v>-274.98099999999999</v>
      </c>
      <c r="L151" s="718"/>
      <c r="M151" s="2110"/>
      <c r="N151" s="2110"/>
      <c r="O151" s="3861"/>
    </row>
    <row r="152" spans="1:15">
      <c r="A152" s="715" t="s">
        <v>345</v>
      </c>
      <c r="B152" s="715"/>
      <c r="C152" s="1669">
        <v>67.891000000000005</v>
      </c>
      <c r="D152" s="1666"/>
      <c r="E152" s="1669">
        <v>5.0000000000000001E-3</v>
      </c>
      <c r="F152" s="1666"/>
      <c r="G152" s="3855">
        <v>0.307</v>
      </c>
      <c r="H152" s="1666"/>
      <c r="I152" s="1669">
        <v>0.58899999999999997</v>
      </c>
      <c r="J152" s="1698"/>
      <c r="K152" s="633">
        <f t="shared" si="8"/>
        <v>68.177999999999997</v>
      </c>
      <c r="L152" s="718"/>
      <c r="M152" s="2110"/>
      <c r="N152" s="2110"/>
      <c r="O152" s="3861"/>
    </row>
    <row r="153" spans="1:15">
      <c r="A153" s="715" t="s">
        <v>346</v>
      </c>
      <c r="B153" s="715"/>
      <c r="C153" s="1669">
        <v>-63.143000000000001</v>
      </c>
      <c r="D153" s="1666"/>
      <c r="E153" s="1669">
        <v>0</v>
      </c>
      <c r="F153" s="1666"/>
      <c r="G153" s="1669">
        <v>0.14099999999999999</v>
      </c>
      <c r="H153" s="1666"/>
      <c r="I153" s="1669">
        <v>0</v>
      </c>
      <c r="J153" s="1698"/>
      <c r="K153" s="633">
        <f t="shared" si="8"/>
        <v>-63.283999999999999</v>
      </c>
      <c r="L153" s="718"/>
      <c r="M153" s="2110"/>
      <c r="N153" s="720"/>
      <c r="O153" s="3861"/>
    </row>
    <row r="154" spans="1:15">
      <c r="A154" s="715" t="s">
        <v>1113</v>
      </c>
      <c r="B154" s="715"/>
      <c r="C154" s="1669">
        <v>32.479999999999997</v>
      </c>
      <c r="D154" s="1666"/>
      <c r="E154" s="1669">
        <v>0</v>
      </c>
      <c r="F154" s="1666"/>
      <c r="G154" s="1669">
        <v>9.7119999999999997</v>
      </c>
      <c r="H154" s="1666"/>
      <c r="I154" s="1669">
        <v>50</v>
      </c>
      <c r="J154" s="1698"/>
      <c r="K154" s="633">
        <f t="shared" si="8"/>
        <v>72.768000000000001</v>
      </c>
      <c r="L154" s="718"/>
      <c r="M154" s="2110"/>
      <c r="N154" s="2110"/>
      <c r="O154" s="3861"/>
    </row>
    <row r="155" spans="1:15">
      <c r="A155" s="432" t="s">
        <v>1359</v>
      </c>
      <c r="B155" s="715"/>
      <c r="C155" s="433">
        <f>ROUND(SUM(C116:C154),3)</f>
        <v>-1663.2750000000001</v>
      </c>
      <c r="D155" s="432"/>
      <c r="E155" s="433">
        <f>ROUND(SUM(E116:E154),3)</f>
        <v>466.12700000000001</v>
      </c>
      <c r="F155" s="432"/>
      <c r="G155" s="433">
        <f>ROUND(SUM(G116:G154),3)</f>
        <v>760.79200000000003</v>
      </c>
      <c r="H155" s="432"/>
      <c r="I155" s="433">
        <f>ROUND(SUM(I116:I154),3)</f>
        <v>343.62799999999999</v>
      </c>
      <c r="J155" s="432"/>
      <c r="K155" s="433">
        <f>ROUND(SUM(K116:K154),3)</f>
        <v>-1614.3119999999999</v>
      </c>
      <c r="L155" s="434"/>
      <c r="M155" s="2973"/>
      <c r="N155" s="2973"/>
      <c r="O155" s="3861"/>
    </row>
    <row r="156" spans="1:15">
      <c r="A156" s="432"/>
      <c r="B156" s="715"/>
      <c r="C156" s="717"/>
      <c r="D156" s="715"/>
      <c r="E156" s="721"/>
      <c r="F156" s="722"/>
      <c r="G156" s="721"/>
      <c r="H156" s="722"/>
      <c r="I156" s="721"/>
      <c r="J156" s="715"/>
      <c r="K156" s="717"/>
      <c r="L156" s="717"/>
      <c r="O156" s="3861"/>
    </row>
    <row r="157" spans="1:15" ht="16.2" thickBot="1">
      <c r="A157" s="432" t="s">
        <v>347</v>
      </c>
      <c r="B157" s="435"/>
      <c r="C157" s="436">
        <f>ROUND(SUM(C24+C103+C113+C155),3)</f>
        <v>56543.300999999999</v>
      </c>
      <c r="D157" s="435"/>
      <c r="E157" s="436">
        <f>ROUND(SUM(E24+E103+E113+E155),3)</f>
        <v>21392.673999999999</v>
      </c>
      <c r="F157" s="437"/>
      <c r="G157" s="436">
        <f>ROUND(SUM(G24+G103+G113+G155),3)</f>
        <v>14650.421</v>
      </c>
      <c r="H157" s="437"/>
      <c r="I157" s="436">
        <f>ROUND(SUM(I24+I103+I113+I155),3)</f>
        <v>-3.0179999999999998</v>
      </c>
      <c r="J157" s="435"/>
      <c r="K157" s="436">
        <f>ROUND(SUM(K24+K103+K113+K155),3)</f>
        <v>63282.536</v>
      </c>
      <c r="L157" s="438"/>
      <c r="O157" s="3861"/>
    </row>
    <row r="158" spans="1:15" ht="16.2" thickTop="1">
      <c r="A158" s="715"/>
      <c r="B158" s="715"/>
      <c r="C158" s="717" t="s">
        <v>14</v>
      </c>
      <c r="D158" s="715"/>
      <c r="E158" s="717"/>
      <c r="F158" s="715"/>
      <c r="G158" s="717"/>
      <c r="H158" s="715"/>
      <c r="I158" s="717"/>
      <c r="J158" s="715"/>
      <c r="K158" s="717"/>
      <c r="L158" s="717"/>
    </row>
    <row r="159" spans="1:15">
      <c r="A159" s="715"/>
      <c r="B159" s="715"/>
      <c r="C159" s="715" t="s">
        <v>14</v>
      </c>
      <c r="D159" s="715"/>
      <c r="E159" s="715"/>
      <c r="F159" s="715"/>
      <c r="G159" s="715"/>
      <c r="H159" s="715"/>
      <c r="I159" s="715"/>
      <c r="J159" s="715"/>
      <c r="K159" s="715"/>
      <c r="L159" s="717"/>
    </row>
    <row r="160" spans="1:15">
      <c r="A160" s="431"/>
      <c r="B160" s="715"/>
      <c r="C160" s="715"/>
      <c r="D160" s="715"/>
      <c r="E160" s="3371"/>
      <c r="F160" s="715"/>
      <c r="G160" s="715" t="s">
        <v>14</v>
      </c>
      <c r="H160" s="715"/>
      <c r="I160" s="722" t="s">
        <v>14</v>
      </c>
      <c r="J160" s="715"/>
      <c r="K160" s="3372" t="s">
        <v>14</v>
      </c>
      <c r="L160" s="717"/>
    </row>
    <row r="161" spans="1:12">
      <c r="A161" s="715" t="s">
        <v>14</v>
      </c>
      <c r="B161" s="715"/>
      <c r="C161" s="715"/>
      <c r="D161" s="715"/>
      <c r="E161" s="715"/>
      <c r="F161" s="715"/>
      <c r="G161" s="719" t="s">
        <v>14</v>
      </c>
      <c r="H161" s="715"/>
      <c r="I161" s="715" t="s">
        <v>14</v>
      </c>
      <c r="J161" s="715"/>
      <c r="K161" s="715" t="s">
        <v>14</v>
      </c>
      <c r="L161" s="717"/>
    </row>
    <row r="162" spans="1:12">
      <c r="A162" s="715"/>
      <c r="B162" s="715"/>
      <c r="C162" s="715"/>
      <c r="D162" s="715"/>
      <c r="E162" s="715"/>
      <c r="F162" s="715"/>
      <c r="G162" s="715"/>
      <c r="H162" s="715"/>
      <c r="I162" s="715" t="s">
        <v>14</v>
      </c>
      <c r="J162" s="715"/>
      <c r="K162" s="715" t="s">
        <v>14</v>
      </c>
      <c r="L162" s="717"/>
    </row>
    <row r="163" spans="1:12">
      <c r="A163" s="723"/>
      <c r="B163" s="715"/>
      <c r="C163" s="715"/>
      <c r="D163" s="715"/>
      <c r="E163" s="715"/>
      <c r="F163" s="715"/>
      <c r="G163" s="715"/>
      <c r="H163" s="715"/>
      <c r="I163" s="724" t="s">
        <v>14</v>
      </c>
      <c r="J163" s="715"/>
      <c r="K163" s="715" t="s">
        <v>14</v>
      </c>
      <c r="L163" s="717"/>
    </row>
    <row r="164" spans="1:12">
      <c r="I164" s="3814" t="s">
        <v>14</v>
      </c>
      <c r="K164" s="2974" t="s">
        <v>14</v>
      </c>
    </row>
    <row r="165" spans="1:12">
      <c r="I165" s="2194"/>
    </row>
    <row r="166" spans="1:12">
      <c r="I166" s="2194"/>
    </row>
    <row r="167" spans="1:12">
      <c r="I167" s="2194"/>
    </row>
    <row r="168" spans="1:12">
      <c r="I168" s="438"/>
    </row>
    <row r="169" spans="1:12">
      <c r="I169" s="2194"/>
    </row>
    <row r="170" spans="1:12">
      <c r="I170" s="2194"/>
    </row>
    <row r="171" spans="1:12">
      <c r="I171" s="2194"/>
    </row>
    <row r="172" spans="1:12">
      <c r="I172" s="2194"/>
    </row>
  </sheetData>
  <pageMargins left="0.5" right="0.25" top="0.32" bottom="0" header="0.27" footer="0.1"/>
  <pageSetup scale="58" firstPageNumber="39"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81640625" defaultRowHeight="17.399999999999999"/>
  <cols>
    <col min="1" max="1" width="55.81640625" style="2195" customWidth="1"/>
    <col min="2" max="2" width="6.08984375" style="2195" customWidth="1"/>
    <col min="3" max="3" width="20.08984375" style="2195" customWidth="1"/>
    <col min="4" max="4" width="3.08984375" style="2195" customWidth="1"/>
    <col min="5" max="5" width="17.08984375" style="2195" customWidth="1"/>
    <col min="6" max="6" width="3.54296875" style="2195" customWidth="1"/>
    <col min="7" max="7" width="18.08984375" style="2195" customWidth="1"/>
    <col min="8" max="8" width="3.08984375" style="2195" customWidth="1"/>
    <col min="9" max="9" width="18.54296875" style="2195" customWidth="1"/>
    <col min="10" max="10" width="3.453125" style="2195" customWidth="1"/>
    <col min="11" max="11" width="22.08984375" style="2195" customWidth="1"/>
    <col min="12" max="12" width="15.54296875" style="2195" customWidth="1"/>
    <col min="13" max="13" width="9.81640625" style="2195" bestFit="1" customWidth="1"/>
    <col min="14" max="16384" width="8.81640625" style="2195"/>
  </cols>
  <sheetData>
    <row r="1" spans="1:15">
      <c r="A1" s="1484" t="s">
        <v>881</v>
      </c>
    </row>
    <row r="2" spans="1:15">
      <c r="A2" s="2999"/>
    </row>
    <row r="3" spans="1:15" s="441" customFormat="1" ht="18" customHeight="1">
      <c r="A3" s="445" t="s">
        <v>0</v>
      </c>
      <c r="B3" s="3000"/>
      <c r="C3" s="3000"/>
      <c r="D3" s="3000"/>
      <c r="E3" s="2196"/>
      <c r="F3" s="2196"/>
      <c r="G3" s="439"/>
      <c r="H3" s="439"/>
      <c r="I3" s="445"/>
      <c r="J3" s="445"/>
      <c r="K3" s="448" t="s">
        <v>348</v>
      </c>
      <c r="L3" s="439"/>
      <c r="M3" s="439"/>
      <c r="N3" s="439"/>
      <c r="O3" s="439"/>
    </row>
    <row r="4" spans="1:15" s="441" customFormat="1" ht="18" customHeight="1">
      <c r="A4" s="445" t="s">
        <v>349</v>
      </c>
      <c r="B4" s="3000"/>
      <c r="C4" s="3000"/>
      <c r="D4" s="3000"/>
      <c r="E4" s="2196"/>
      <c r="F4" s="2196"/>
      <c r="G4" s="439"/>
      <c r="H4" s="439"/>
      <c r="I4" s="445"/>
      <c r="J4" s="445"/>
      <c r="K4" s="445"/>
      <c r="L4" s="439"/>
      <c r="M4" s="439"/>
      <c r="N4" s="439"/>
      <c r="O4" s="439"/>
    </row>
    <row r="5" spans="1:15" s="441" customFormat="1" ht="18" customHeight="1">
      <c r="A5" s="451" t="s">
        <v>1179</v>
      </c>
      <c r="B5" s="3000"/>
      <c r="C5" s="3000"/>
      <c r="D5" s="3000"/>
      <c r="E5" s="2196"/>
      <c r="F5" s="2196"/>
      <c r="G5" s="439"/>
      <c r="H5" s="439"/>
      <c r="I5" s="445"/>
      <c r="J5" s="445"/>
      <c r="K5" s="445"/>
      <c r="L5" s="439"/>
      <c r="M5" s="439"/>
      <c r="N5" s="439"/>
      <c r="O5" s="439"/>
    </row>
    <row r="6" spans="1:15" s="441" customFormat="1" ht="18" customHeight="1">
      <c r="A6" s="451" t="s">
        <v>350</v>
      </c>
      <c r="B6" s="3000"/>
      <c r="C6" s="3000"/>
      <c r="D6" s="3000"/>
      <c r="E6" s="2196"/>
      <c r="F6" s="2196"/>
      <c r="G6" s="439"/>
      <c r="H6" s="439"/>
      <c r="I6" s="445"/>
      <c r="J6" s="445"/>
      <c r="K6" s="445"/>
      <c r="L6" s="439"/>
      <c r="M6" s="439"/>
      <c r="N6" s="439"/>
      <c r="O6" s="439"/>
    </row>
    <row r="7" spans="1:15" s="441" customFormat="1" ht="18" customHeight="1">
      <c r="A7" s="451" t="str">
        <f>'Sch 1 '!A7</f>
        <v>FISCAL YEAR 2021-2022</v>
      </c>
      <c r="B7" s="3000"/>
      <c r="C7" s="3000"/>
      <c r="D7" s="3000"/>
      <c r="E7" s="2196"/>
      <c r="F7" s="2196"/>
      <c r="G7" s="439"/>
      <c r="H7" s="439"/>
      <c r="I7" s="445"/>
      <c r="J7" s="445"/>
      <c r="K7" s="445"/>
      <c r="L7" s="439"/>
      <c r="M7" s="439"/>
      <c r="N7" s="439"/>
      <c r="O7" s="439"/>
    </row>
    <row r="8" spans="1:15" s="441" customFormat="1" ht="18" customHeight="1">
      <c r="A8" s="451" t="str">
        <f>'Sch 1 '!A8</f>
        <v>FOR THE MONTH OF JANUARY 2022</v>
      </c>
      <c r="B8" s="3000"/>
      <c r="C8" s="3000"/>
      <c r="D8" s="3000"/>
      <c r="E8" s="2196"/>
      <c r="G8" s="2196"/>
      <c r="H8" s="439"/>
      <c r="I8" s="445"/>
      <c r="J8" s="445"/>
      <c r="K8" s="445"/>
      <c r="L8" s="439"/>
      <c r="M8" s="439"/>
      <c r="N8" s="439"/>
      <c r="O8" s="439"/>
    </row>
    <row r="9" spans="1:15" s="441" customFormat="1" ht="18" customHeight="1">
      <c r="A9" s="445" t="s">
        <v>1263</v>
      </c>
      <c r="B9" s="3000"/>
      <c r="C9" s="3000"/>
      <c r="D9" s="3000"/>
      <c r="E9" s="2196"/>
      <c r="F9" s="2196"/>
      <c r="G9" s="439"/>
      <c r="H9" s="439"/>
      <c r="I9" s="445"/>
      <c r="J9" s="445"/>
      <c r="K9" s="445"/>
      <c r="L9" s="439"/>
      <c r="M9" s="439"/>
      <c r="N9" s="439"/>
      <c r="O9" s="439"/>
    </row>
    <row r="10" spans="1:15" s="441" customFormat="1">
      <c r="A10" s="445"/>
      <c r="B10" s="445"/>
      <c r="C10" s="439"/>
      <c r="D10" s="445"/>
      <c r="E10" s="439"/>
      <c r="F10" s="439"/>
      <c r="G10" s="439"/>
      <c r="H10" s="439"/>
      <c r="I10" s="439"/>
      <c r="J10" s="439"/>
      <c r="K10" s="439"/>
      <c r="L10" s="439"/>
      <c r="M10" s="439"/>
      <c r="N10" s="439"/>
      <c r="O10" s="439"/>
    </row>
    <row r="11" spans="1:15" s="441" customFormat="1">
      <c r="A11" s="445"/>
      <c r="B11" s="445"/>
      <c r="C11" s="445"/>
      <c r="D11" s="445"/>
      <c r="E11" s="445"/>
      <c r="F11" s="445"/>
      <c r="G11" s="445"/>
      <c r="H11" s="445"/>
      <c r="I11" s="445"/>
      <c r="J11" s="445"/>
      <c r="K11" s="445"/>
      <c r="L11" s="439"/>
      <c r="M11" s="439"/>
      <c r="N11" s="439"/>
      <c r="O11" s="439"/>
    </row>
    <row r="12" spans="1:15" s="441" customFormat="1">
      <c r="A12" s="445"/>
      <c r="B12" s="445"/>
      <c r="C12" s="681"/>
      <c r="D12" s="445"/>
      <c r="E12" s="445"/>
      <c r="F12" s="445"/>
      <c r="G12" s="445"/>
      <c r="H12" s="445"/>
      <c r="I12" s="681" t="s">
        <v>351</v>
      </c>
      <c r="J12" s="445"/>
      <c r="K12" s="681"/>
      <c r="L12" s="439"/>
      <c r="M12" s="439"/>
      <c r="N12" s="439"/>
      <c r="O12" s="439"/>
    </row>
    <row r="13" spans="1:15" s="441" customFormat="1">
      <c r="A13" s="445"/>
      <c r="B13" s="445"/>
      <c r="C13" s="681" t="s">
        <v>232</v>
      </c>
      <c r="D13" s="445"/>
      <c r="E13" s="445"/>
      <c r="F13" s="445"/>
      <c r="G13" s="445"/>
      <c r="H13" s="445"/>
      <c r="I13" s="681" t="s">
        <v>352</v>
      </c>
      <c r="J13" s="445"/>
      <c r="K13" s="681" t="s">
        <v>232</v>
      </c>
      <c r="L13" s="439"/>
      <c r="M13" s="439"/>
      <c r="N13" s="439"/>
      <c r="O13" s="439"/>
    </row>
    <row r="14" spans="1:15" s="441" customFormat="1">
      <c r="A14" s="465" t="s">
        <v>353</v>
      </c>
      <c r="B14" s="445"/>
      <c r="C14" s="3377" t="str">
        <f>'Sch 1 '!C11</f>
        <v>JANUARY 1, 2022</v>
      </c>
      <c r="D14" s="445"/>
      <c r="E14" s="681" t="s">
        <v>234</v>
      </c>
      <c r="F14" s="445"/>
      <c r="G14" s="681" t="s">
        <v>235</v>
      </c>
      <c r="H14" s="445"/>
      <c r="I14" s="681" t="s">
        <v>236</v>
      </c>
      <c r="J14" s="445"/>
      <c r="K14" s="894" t="str">
        <f>'Sch 1 '!K11</f>
        <v>JANUARY 31, 2022</v>
      </c>
      <c r="L14" s="439"/>
      <c r="M14" s="439"/>
      <c r="N14" s="439"/>
      <c r="O14" s="439"/>
    </row>
    <row r="15" spans="1:15" s="441" customFormat="1" ht="12" customHeight="1">
      <c r="A15" s="439"/>
      <c r="B15" s="439"/>
      <c r="C15" s="3378"/>
      <c r="D15" s="439"/>
      <c r="E15" s="2197"/>
      <c r="F15" s="439"/>
      <c r="G15" s="2197"/>
      <c r="H15" s="439"/>
      <c r="I15" s="2197"/>
      <c r="J15" s="439"/>
      <c r="K15" s="2197"/>
      <c r="L15" s="439"/>
      <c r="M15" s="439"/>
      <c r="N15" s="439"/>
      <c r="O15" s="439"/>
    </row>
    <row r="16" spans="1:15" s="441" customFormat="1">
      <c r="A16" s="452" t="s">
        <v>214</v>
      </c>
      <c r="B16" s="439"/>
      <c r="C16" s="439"/>
      <c r="D16" s="439"/>
      <c r="E16" s="449"/>
      <c r="F16" s="439"/>
      <c r="G16" s="439"/>
      <c r="H16" s="439"/>
      <c r="I16" s="439"/>
      <c r="J16" s="439"/>
      <c r="K16" s="439"/>
      <c r="L16" s="439"/>
      <c r="M16" s="439"/>
      <c r="N16" s="439"/>
      <c r="O16" s="439"/>
    </row>
    <row r="17" spans="1:15" s="441" customFormat="1" ht="12" customHeight="1">
      <c r="A17" s="439"/>
      <c r="B17" s="439"/>
      <c r="C17" s="439"/>
      <c r="D17" s="439"/>
      <c r="E17" s="449"/>
      <c r="F17" s="439"/>
      <c r="G17" s="439"/>
      <c r="H17" s="439"/>
      <c r="I17" s="439"/>
      <c r="J17" s="439"/>
      <c r="K17" s="439"/>
      <c r="L17" s="439"/>
      <c r="M17" s="439"/>
      <c r="N17" s="439"/>
      <c r="O17" s="439"/>
    </row>
    <row r="18" spans="1:15" s="441" customFormat="1" ht="16.5" customHeight="1">
      <c r="A18" s="3801" t="s">
        <v>1473</v>
      </c>
      <c r="B18" s="439"/>
      <c r="C18" s="1670">
        <v>186.251</v>
      </c>
      <c r="D18" s="1671"/>
      <c r="E18" s="1670">
        <v>57.552</v>
      </c>
      <c r="F18" s="1671"/>
      <c r="G18" s="1670">
        <v>5.7439999999999998</v>
      </c>
      <c r="H18" s="1671"/>
      <c r="I18" s="1670">
        <v>0</v>
      </c>
      <c r="J18" s="2986"/>
      <c r="K18" s="1673">
        <f t="shared" ref="K18" si="0">ROUND(SUM(C18)+SUM(E18)-SUM(G18)+SUM(I18),3)</f>
        <v>238.059</v>
      </c>
      <c r="L18" s="697"/>
      <c r="M18" s="439"/>
      <c r="N18" s="439"/>
      <c r="O18" s="439"/>
    </row>
    <row r="19" spans="1:15" s="441" customFormat="1" ht="16.350000000000001" customHeight="1">
      <c r="A19" s="439" t="s">
        <v>354</v>
      </c>
      <c r="B19" s="440"/>
      <c r="C19" s="1674">
        <v>0.106</v>
      </c>
      <c r="D19" s="1671"/>
      <c r="E19" s="1674">
        <v>1E-3</v>
      </c>
      <c r="F19" s="1671"/>
      <c r="G19" s="1674">
        <v>8.0000000000000002E-3</v>
      </c>
      <c r="H19" s="1671"/>
      <c r="I19" s="1674">
        <v>0</v>
      </c>
      <c r="J19" s="2986"/>
      <c r="K19" s="1675">
        <f t="shared" ref="K19:K25" si="1">ROUND(SUM(C19)+SUM(E19)-SUM(G19)+SUM(I19),3)</f>
        <v>9.9000000000000005E-2</v>
      </c>
      <c r="L19" s="697"/>
      <c r="M19" s="439"/>
      <c r="N19" s="439"/>
      <c r="O19" s="439"/>
    </row>
    <row r="20" spans="1:15" s="441" customFormat="1" ht="15.75" customHeight="1">
      <c r="A20" s="439" t="s">
        <v>355</v>
      </c>
      <c r="B20" s="439"/>
      <c r="C20" s="1674">
        <v>1.758</v>
      </c>
      <c r="D20" s="1671"/>
      <c r="E20" s="1674">
        <v>0.11700000000000001</v>
      </c>
      <c r="F20" s="1671"/>
      <c r="G20" s="1674">
        <v>0.97299999999999998</v>
      </c>
      <c r="H20" s="1671"/>
      <c r="I20" s="1674">
        <v>0</v>
      </c>
      <c r="J20" s="2986"/>
      <c r="K20" s="1675">
        <f>ROUND(SUM(C20)+SUM(E20)-SUM(G20)+SUM(I20),3)</f>
        <v>0.90200000000000002</v>
      </c>
      <c r="L20" s="697"/>
      <c r="M20" s="439"/>
      <c r="N20" s="439"/>
      <c r="O20" s="439"/>
    </row>
    <row r="21" spans="1:15" s="441" customFormat="1" ht="16.350000000000001" customHeight="1">
      <c r="A21" s="439" t="s">
        <v>356</v>
      </c>
      <c r="B21" s="439"/>
      <c r="C21" s="1674">
        <v>3.5680000000000001</v>
      </c>
      <c r="D21" s="1671"/>
      <c r="E21" s="1674">
        <v>3.149</v>
      </c>
      <c r="F21" s="1671"/>
      <c r="G21" s="1674">
        <v>2.9329999999999998</v>
      </c>
      <c r="H21" s="1671"/>
      <c r="I21" s="1674">
        <v>0</v>
      </c>
      <c r="J21" s="2986"/>
      <c r="K21" s="1675">
        <f t="shared" si="1"/>
        <v>3.7839999999999998</v>
      </c>
      <c r="L21" s="697"/>
      <c r="M21" s="439"/>
      <c r="N21" s="439"/>
      <c r="O21" s="439"/>
    </row>
    <row r="22" spans="1:15" s="441" customFormat="1" ht="16.350000000000001" customHeight="1">
      <c r="A22" s="439" t="s">
        <v>913</v>
      </c>
      <c r="B22" s="439"/>
      <c r="C22" s="1674">
        <v>18.844999999999999</v>
      </c>
      <c r="D22" s="1671"/>
      <c r="E22" s="1674">
        <v>0.44800000000000001</v>
      </c>
      <c r="F22" s="1671"/>
      <c r="G22" s="1674">
        <v>1.101</v>
      </c>
      <c r="H22" s="1671"/>
      <c r="I22" s="1674">
        <v>0</v>
      </c>
      <c r="J22" s="2986"/>
      <c r="K22" s="1675">
        <f t="shared" si="1"/>
        <v>18.192</v>
      </c>
      <c r="L22" s="697"/>
      <c r="M22" s="439"/>
      <c r="N22" s="439"/>
      <c r="O22" s="439"/>
    </row>
    <row r="23" spans="1:15" s="441" customFormat="1" ht="16.350000000000001" customHeight="1">
      <c r="A23" s="439" t="s">
        <v>914</v>
      </c>
      <c r="B23" s="439"/>
      <c r="C23" s="1674">
        <v>2.1459999999999999</v>
      </c>
      <c r="D23" s="1671"/>
      <c r="E23" s="1674">
        <v>0</v>
      </c>
      <c r="F23" s="1671"/>
      <c r="G23" s="1674">
        <v>2.1000000000000001E-2</v>
      </c>
      <c r="H23" s="1671"/>
      <c r="I23" s="1674">
        <v>0</v>
      </c>
      <c r="J23" s="2986"/>
      <c r="K23" s="1675">
        <f t="shared" si="1"/>
        <v>2.125</v>
      </c>
      <c r="L23" s="697"/>
      <c r="M23" s="439"/>
      <c r="N23" s="439"/>
      <c r="O23" s="439"/>
    </row>
    <row r="24" spans="1:15" s="441" customFormat="1" ht="16.350000000000001" customHeight="1">
      <c r="A24" s="439" t="s">
        <v>915</v>
      </c>
      <c r="B24" s="439"/>
      <c r="C24" s="1674">
        <v>2.0960000000000001</v>
      </c>
      <c r="D24" s="1671"/>
      <c r="E24" s="1674">
        <v>1E-3</v>
      </c>
      <c r="F24" s="1671"/>
      <c r="G24" s="1674">
        <v>6.0000000000000001E-3</v>
      </c>
      <c r="H24" s="1671"/>
      <c r="I24" s="1674">
        <v>0</v>
      </c>
      <c r="J24" s="2986"/>
      <c r="K24" s="1675">
        <f t="shared" si="1"/>
        <v>2.0910000000000002</v>
      </c>
      <c r="L24" s="697"/>
      <c r="M24" s="439"/>
      <c r="N24" s="439"/>
      <c r="O24" s="439"/>
    </row>
    <row r="25" spans="1:15" s="441" customFormat="1" ht="16.350000000000001" customHeight="1">
      <c r="A25" s="439" t="s">
        <v>357</v>
      </c>
      <c r="B25" s="439"/>
      <c r="C25" s="1674">
        <v>4.8550000000000004</v>
      </c>
      <c r="D25" s="1671"/>
      <c r="E25" s="1674">
        <v>3.5000000000000003E-2</v>
      </c>
      <c r="F25" s="1671"/>
      <c r="G25" s="1674">
        <v>7.1999999999999995E-2</v>
      </c>
      <c r="H25" s="1671"/>
      <c r="I25" s="1674">
        <v>0</v>
      </c>
      <c r="J25" s="2986"/>
      <c r="K25" s="1675">
        <f t="shared" si="1"/>
        <v>4.8179999999999996</v>
      </c>
      <c r="L25" s="697"/>
      <c r="M25" s="439"/>
      <c r="N25" s="439"/>
      <c r="O25" s="439"/>
    </row>
    <row r="26" spans="1:15" s="441" customFormat="1" ht="16.350000000000001" customHeight="1">
      <c r="A26" s="3353" t="s">
        <v>1279</v>
      </c>
      <c r="B26" s="439"/>
      <c r="C26" s="1674">
        <v>13.066000000000001</v>
      </c>
      <c r="D26" s="1671"/>
      <c r="E26" s="1674">
        <v>284.80500000000001</v>
      </c>
      <c r="F26" s="1671"/>
      <c r="G26" s="1674">
        <v>284.77800000000002</v>
      </c>
      <c r="H26" s="1671"/>
      <c r="I26" s="1674">
        <v>0</v>
      </c>
      <c r="J26" s="2986"/>
      <c r="K26" s="1675">
        <f>ROUND(SUM(C26)+SUM(E26)-SUM(G26)+SUM(I26),3)</f>
        <v>13.093</v>
      </c>
      <c r="L26" s="697"/>
      <c r="M26" s="439"/>
      <c r="N26" s="439"/>
      <c r="O26" s="439"/>
    </row>
    <row r="27" spans="1:15" s="441" customFormat="1" ht="16.350000000000001" customHeight="1">
      <c r="A27" s="449" t="s">
        <v>380</v>
      </c>
      <c r="B27" s="439"/>
      <c r="C27" s="1674">
        <v>46.500999999999998</v>
      </c>
      <c r="D27" s="1671"/>
      <c r="E27" s="1674">
        <v>184.35599999999999</v>
      </c>
      <c r="F27" s="1671"/>
      <c r="G27" s="1674">
        <v>197.38900000000001</v>
      </c>
      <c r="H27" s="1671"/>
      <c r="I27" s="1674">
        <v>0</v>
      </c>
      <c r="J27" s="2986"/>
      <c r="K27" s="1675">
        <f>ROUND(SUM(C27)+SUM(E27)-SUM(G27)+SUM(I27),3)</f>
        <v>33.468000000000004</v>
      </c>
      <c r="L27" s="697"/>
      <c r="M27" s="439"/>
      <c r="N27" s="439"/>
      <c r="O27" s="439"/>
    </row>
    <row r="28" spans="1:15" s="441" customFormat="1" ht="20.100000000000001" customHeight="1">
      <c r="A28" s="445" t="s">
        <v>358</v>
      </c>
      <c r="B28" s="439"/>
      <c r="C28" s="1533">
        <f>ROUND(SUM(C18:C27),3)</f>
        <v>279.19200000000001</v>
      </c>
      <c r="D28" s="1560"/>
      <c r="E28" s="1533">
        <f>ROUND(SUM(E18:E27),3)</f>
        <v>530.46400000000006</v>
      </c>
      <c r="F28" s="1560"/>
      <c r="G28" s="1533">
        <f>ROUND(SUM(G18:G27),3)</f>
        <v>493.02499999999998</v>
      </c>
      <c r="H28" s="688"/>
      <c r="I28" s="1533">
        <f>ROUND(SUM(I18:I27),3)</f>
        <v>0</v>
      </c>
      <c r="J28" s="688"/>
      <c r="K28" s="1533">
        <f>ROUND(SUM(K18:K27),3)</f>
        <v>316.63099999999997</v>
      </c>
      <c r="L28" s="697"/>
      <c r="M28" s="439"/>
      <c r="N28" s="439"/>
      <c r="O28" s="439"/>
    </row>
    <row r="29" spans="1:15" s="441" customFormat="1" ht="15" customHeight="1">
      <c r="A29" s="439"/>
      <c r="B29" s="439"/>
      <c r="C29" s="690"/>
      <c r="D29" s="442"/>
      <c r="E29" s="690"/>
      <c r="F29" s="442"/>
      <c r="G29" s="690"/>
      <c r="H29" s="442"/>
      <c r="I29" s="443"/>
      <c r="J29" s="442"/>
      <c r="K29" s="690"/>
      <c r="L29" s="697"/>
      <c r="M29" s="439"/>
      <c r="N29" s="439"/>
      <c r="O29" s="439"/>
    </row>
    <row r="30" spans="1:15" s="441" customFormat="1" ht="15" customHeight="1">
      <c r="A30" s="439"/>
      <c r="B30" s="439"/>
      <c r="C30" s="442"/>
      <c r="D30" s="2995" t="s">
        <v>231</v>
      </c>
      <c r="E30" s="442"/>
      <c r="F30" s="442"/>
      <c r="G30" s="442"/>
      <c r="H30" s="442"/>
      <c r="I30" s="442"/>
      <c r="J30" s="442"/>
      <c r="K30" s="442"/>
      <c r="L30" s="697"/>
      <c r="M30" s="439"/>
      <c r="N30" s="439"/>
      <c r="O30" s="439"/>
    </row>
    <row r="31" spans="1:15" s="441" customFormat="1" ht="15" customHeight="1">
      <c r="A31" s="439"/>
      <c r="B31" s="439"/>
      <c r="C31" s="442"/>
      <c r="D31" s="442"/>
      <c r="E31" s="442"/>
      <c r="F31" s="442"/>
      <c r="G31" s="442"/>
      <c r="H31" s="442"/>
      <c r="I31" s="442"/>
      <c r="J31" s="442"/>
      <c r="K31" s="442"/>
      <c r="L31" s="697"/>
      <c r="M31" s="439"/>
      <c r="N31" s="439"/>
      <c r="O31" s="439"/>
    </row>
    <row r="32" spans="1:15" s="441" customFormat="1" ht="18" customHeight="1">
      <c r="A32" s="452" t="s">
        <v>219</v>
      </c>
      <c r="B32" s="439"/>
      <c r="C32" s="442"/>
      <c r="D32" s="442"/>
      <c r="E32" s="442"/>
      <c r="F32" s="442"/>
      <c r="G32" s="442"/>
      <c r="H32" s="442"/>
      <c r="I32" s="442"/>
      <c r="J32" s="442"/>
      <c r="K32" s="442"/>
      <c r="L32" s="697"/>
      <c r="M32" s="439"/>
      <c r="N32" s="439"/>
      <c r="O32" s="439"/>
    </row>
    <row r="33" spans="1:15" s="441" customFormat="1" ht="15" customHeight="1">
      <c r="A33" s="452"/>
      <c r="B33" s="439"/>
      <c r="C33" s="442"/>
      <c r="D33" s="442"/>
      <c r="E33" s="442"/>
      <c r="F33" s="442"/>
      <c r="G33" s="442"/>
      <c r="H33" s="442"/>
      <c r="I33" s="442"/>
      <c r="J33" s="442"/>
      <c r="K33" s="442"/>
      <c r="L33" s="697"/>
      <c r="M33" s="439"/>
      <c r="N33" s="439"/>
      <c r="O33" s="439"/>
    </row>
    <row r="34" spans="1:15" s="441" customFormat="1" ht="16.350000000000001" customHeight="1">
      <c r="A34" s="439" t="s">
        <v>916</v>
      </c>
      <c r="B34" s="439"/>
      <c r="C34" s="1674">
        <v>-82.930999999999997</v>
      </c>
      <c r="D34" s="1671"/>
      <c r="E34" s="1674">
        <v>26.81</v>
      </c>
      <c r="F34" s="1671"/>
      <c r="G34" s="1674">
        <v>33.487000000000002</v>
      </c>
      <c r="H34" s="1671"/>
      <c r="I34" s="3564">
        <v>0.47899999999999998</v>
      </c>
      <c r="J34" s="2986"/>
      <c r="K34" s="1675">
        <f t="shared" ref="K34:K41" si="2">ROUND(SUM(C34)+SUM(E34)-SUM(G34)+SUM(I34),3)</f>
        <v>-89.129000000000005</v>
      </c>
      <c r="L34" s="697"/>
      <c r="M34" s="442"/>
      <c r="N34" s="439"/>
      <c r="O34" s="439"/>
    </row>
    <row r="35" spans="1:15" s="441" customFormat="1" ht="16.350000000000001" customHeight="1">
      <c r="A35" s="439" t="s">
        <v>359</v>
      </c>
      <c r="B35" s="439"/>
      <c r="C35" s="1674">
        <v>-181.06399999999999</v>
      </c>
      <c r="D35" s="1671"/>
      <c r="E35" s="1674">
        <v>10.847</v>
      </c>
      <c r="F35" s="1671"/>
      <c r="G35" s="1674">
        <v>21.800999999999998</v>
      </c>
      <c r="H35" s="1671"/>
      <c r="I35" s="1674">
        <v>2.5590000000000002</v>
      </c>
      <c r="J35" s="2986"/>
      <c r="K35" s="1675">
        <f t="shared" si="2"/>
        <v>-189.459</v>
      </c>
      <c r="L35" s="697"/>
      <c r="M35" s="442"/>
      <c r="N35" s="439"/>
      <c r="O35" s="439"/>
    </row>
    <row r="36" spans="1:15" s="441" customFormat="1" ht="16.350000000000001" customHeight="1">
      <c r="A36" s="439" t="s">
        <v>360</v>
      </c>
      <c r="B36" s="439"/>
      <c r="C36" s="1674">
        <v>-8.7999999999999995E-2</v>
      </c>
      <c r="D36" s="1671"/>
      <c r="E36" s="1674">
        <v>1.2999999999999999E-2</v>
      </c>
      <c r="F36" s="1671"/>
      <c r="G36" s="1674">
        <v>0.06</v>
      </c>
      <c r="H36" s="1671"/>
      <c r="I36" s="1674">
        <v>0</v>
      </c>
      <c r="J36" s="2986"/>
      <c r="K36" s="1675">
        <f t="shared" si="2"/>
        <v>-0.13500000000000001</v>
      </c>
      <c r="L36" s="697"/>
      <c r="M36" s="442"/>
      <c r="N36" s="439"/>
      <c r="O36" s="439"/>
    </row>
    <row r="37" spans="1:15" s="441" customFormat="1" ht="16.350000000000001" customHeight="1">
      <c r="A37" s="439" t="s">
        <v>361</v>
      </c>
      <c r="B37" s="439"/>
      <c r="C37" s="1674">
        <v>4.5999999999999999E-2</v>
      </c>
      <c r="D37" s="1671"/>
      <c r="E37" s="1674">
        <v>0</v>
      </c>
      <c r="F37" s="1671"/>
      <c r="G37" s="1674">
        <v>0</v>
      </c>
      <c r="H37" s="1671"/>
      <c r="I37" s="1674">
        <v>0</v>
      </c>
      <c r="J37" s="2986"/>
      <c r="K37" s="1675">
        <f t="shared" si="2"/>
        <v>4.5999999999999999E-2</v>
      </c>
      <c r="L37" s="697"/>
      <c r="M37" s="442"/>
      <c r="N37" s="439"/>
      <c r="O37" s="439"/>
    </row>
    <row r="38" spans="1:15" s="441" customFormat="1" ht="16.350000000000001" customHeight="1">
      <c r="A38" s="439" t="s">
        <v>917</v>
      </c>
      <c r="B38" s="439"/>
      <c r="C38" s="1674">
        <v>0.55300000000000005</v>
      </c>
      <c r="D38" s="1671"/>
      <c r="E38" s="1674">
        <v>0</v>
      </c>
      <c r="F38" s="1671"/>
      <c r="G38" s="1674">
        <v>6.2E-2</v>
      </c>
      <c r="H38" s="1671"/>
      <c r="I38" s="1674">
        <v>1E-3</v>
      </c>
      <c r="J38" s="2986"/>
      <c r="K38" s="1675">
        <f t="shared" si="2"/>
        <v>0.49199999999999999</v>
      </c>
      <c r="L38" s="697"/>
      <c r="M38" s="442"/>
      <c r="N38" s="439"/>
      <c r="O38" s="439"/>
    </row>
    <row r="39" spans="1:15" s="441" customFormat="1" ht="16.350000000000001" customHeight="1">
      <c r="A39" s="439" t="s">
        <v>362</v>
      </c>
      <c r="B39" s="439"/>
      <c r="C39" s="1674">
        <v>-73.873000000000005</v>
      </c>
      <c r="D39" s="1671"/>
      <c r="E39" s="1674">
        <v>0</v>
      </c>
      <c r="F39" s="1671"/>
      <c r="G39" s="1674">
        <v>3.19</v>
      </c>
      <c r="H39" s="1671"/>
      <c r="I39" s="1674">
        <v>-1.6E-2</v>
      </c>
      <c r="J39" s="2986"/>
      <c r="K39" s="1675">
        <f t="shared" si="2"/>
        <v>-77.078999999999994</v>
      </c>
      <c r="L39" s="697"/>
      <c r="M39" s="442" t="s">
        <v>14</v>
      </c>
      <c r="N39" s="439"/>
      <c r="O39" s="439"/>
    </row>
    <row r="40" spans="1:15" s="441" customFormat="1" ht="16.350000000000001" customHeight="1">
      <c r="A40" s="439" t="s">
        <v>363</v>
      </c>
      <c r="B40" s="439"/>
      <c r="C40" s="1674">
        <v>-6.2670000000000003</v>
      </c>
      <c r="D40" s="1671"/>
      <c r="E40" s="1674">
        <v>0</v>
      </c>
      <c r="F40" s="1671"/>
      <c r="G40" s="1674">
        <v>0.98699999999999999</v>
      </c>
      <c r="H40" s="1671"/>
      <c r="I40" s="1674">
        <v>0</v>
      </c>
      <c r="J40" s="2986"/>
      <c r="K40" s="1675">
        <f t="shared" si="2"/>
        <v>-7.2539999999999996</v>
      </c>
      <c r="L40" s="697"/>
      <c r="M40" s="442" t="s">
        <v>14</v>
      </c>
      <c r="N40" s="439"/>
      <c r="O40" s="439"/>
    </row>
    <row r="41" spans="1:15" s="441" customFormat="1" ht="16.350000000000001" customHeight="1">
      <c r="A41" s="439" t="s">
        <v>364</v>
      </c>
      <c r="B41" s="439"/>
      <c r="C41" s="1674">
        <v>-35.064999999999998</v>
      </c>
      <c r="D41" s="1671"/>
      <c r="E41" s="1674">
        <v>2.5329999999999999</v>
      </c>
      <c r="F41" s="1671"/>
      <c r="G41" s="1674">
        <v>3.5430000000000001</v>
      </c>
      <c r="H41" s="1671"/>
      <c r="I41" s="1674">
        <v>-5.0000000000000001E-3</v>
      </c>
      <c r="J41" s="2986"/>
      <c r="K41" s="1675">
        <f t="shared" si="2"/>
        <v>-36.08</v>
      </c>
      <c r="L41" s="697"/>
      <c r="M41" s="442"/>
      <c r="N41" s="439"/>
      <c r="O41" s="439"/>
    </row>
    <row r="42" spans="1:15" s="441" customFormat="1" ht="20.100000000000001" customHeight="1">
      <c r="A42" s="445" t="s">
        <v>365</v>
      </c>
      <c r="B42" s="439"/>
      <c r="C42" s="1533">
        <f>ROUND(SUM(C34:C41),3)</f>
        <v>-378.68900000000002</v>
      </c>
      <c r="D42" s="691"/>
      <c r="E42" s="1533">
        <f>ROUND(SUM(E34:E41),3)</f>
        <v>40.203000000000003</v>
      </c>
      <c r="F42" s="691"/>
      <c r="G42" s="1533">
        <f>ROUND(SUM(G34:G41),3)</f>
        <v>63.13</v>
      </c>
      <c r="H42" s="689"/>
      <c r="I42" s="1533">
        <f>ROUND(SUM(I34:I41),3)</f>
        <v>3.0179999999999998</v>
      </c>
      <c r="J42" s="689"/>
      <c r="K42" s="1533">
        <f>ROUND(SUM(K34:K41),3)</f>
        <v>-398.59800000000001</v>
      </c>
      <c r="L42" s="697"/>
      <c r="M42" s="439"/>
      <c r="N42" s="439"/>
      <c r="O42" s="439"/>
    </row>
    <row r="43" spans="1:15" s="441" customFormat="1" ht="15" customHeight="1">
      <c r="A43" s="445"/>
      <c r="B43" s="439"/>
      <c r="C43" s="3379"/>
      <c r="D43" s="2199"/>
      <c r="E43" s="2198"/>
      <c r="F43" s="2199"/>
      <c r="G43" s="2198"/>
      <c r="H43" s="2199"/>
      <c r="I43" s="2987"/>
      <c r="J43" s="2199"/>
      <c r="K43" s="2198"/>
      <c r="L43" s="697"/>
      <c r="M43" s="439"/>
      <c r="N43" s="439"/>
      <c r="O43" s="439"/>
    </row>
    <row r="44" spans="1:15" s="441" customFormat="1" ht="15" customHeight="1">
      <c r="A44" s="445"/>
      <c r="B44" s="439"/>
      <c r="C44" s="2987"/>
      <c r="D44" s="2199"/>
      <c r="E44" s="2199"/>
      <c r="F44" s="2199"/>
      <c r="G44" s="2199" t="s">
        <v>14</v>
      </c>
      <c r="H44" s="2199"/>
      <c r="I44" s="3001"/>
      <c r="J44" s="2199"/>
      <c r="K44" s="2199"/>
      <c r="L44" s="697"/>
      <c r="M44" s="439"/>
      <c r="N44" s="439"/>
      <c r="O44" s="439"/>
    </row>
    <row r="45" spans="1:15" s="441" customFormat="1" ht="20.100000000000001" customHeight="1" thickBot="1">
      <c r="A45" s="445" t="s">
        <v>63</v>
      </c>
      <c r="B45" s="440"/>
      <c r="C45" s="2200">
        <f>ROUND(SUM(C42)+SUM(C28),3)</f>
        <v>-99.497</v>
      </c>
      <c r="D45" s="699"/>
      <c r="E45" s="2200">
        <f>ROUND(SUM(E42)+SUM(E28),3)</f>
        <v>570.66700000000003</v>
      </c>
      <c r="F45" s="699"/>
      <c r="G45" s="2200">
        <f>ROUND(SUM(G42)+SUM(G28),3)</f>
        <v>556.15499999999997</v>
      </c>
      <c r="H45" s="699"/>
      <c r="I45" s="2200">
        <f>ROUND(SUM(I42)+SUM(I28),3)</f>
        <v>3.0179999999999998</v>
      </c>
      <c r="J45" s="699"/>
      <c r="K45" s="2200">
        <f>ROUND(SUM(K42)+SUM(K28),3)</f>
        <v>-81.966999999999999</v>
      </c>
      <c r="L45" s="697"/>
      <c r="M45" s="439"/>
      <c r="N45" s="439"/>
      <c r="O45" s="439"/>
    </row>
    <row r="46" spans="1:15" s="441" customFormat="1" ht="18" thickTop="1">
      <c r="A46" s="439"/>
      <c r="B46" s="439"/>
      <c r="C46" s="2201"/>
      <c r="D46" s="2199"/>
      <c r="E46" s="2201" t="s">
        <v>14</v>
      </c>
      <c r="F46" s="2199"/>
      <c r="G46" s="2201"/>
      <c r="H46" s="2199"/>
      <c r="I46" s="684"/>
      <c r="J46" s="2199"/>
      <c r="K46" s="2201"/>
      <c r="L46" s="439"/>
      <c r="M46" s="439"/>
      <c r="N46" s="439"/>
      <c r="O46" s="439"/>
    </row>
    <row r="47" spans="1:15" s="441" customFormat="1">
      <c r="A47" s="3002"/>
      <c r="B47" s="2195"/>
      <c r="C47" s="2204"/>
      <c r="D47" s="2204"/>
      <c r="E47" s="2202" t="s">
        <v>14</v>
      </c>
      <c r="F47" s="2202"/>
      <c r="G47" s="3003"/>
      <c r="H47" s="2202" t="s">
        <v>14</v>
      </c>
      <c r="I47" s="3004" t="s">
        <v>14</v>
      </c>
      <c r="J47" s="2204"/>
      <c r="K47" s="3005"/>
      <c r="L47" s="2195"/>
      <c r="M47" s="2195"/>
      <c r="N47" s="2195"/>
      <c r="O47" s="2195"/>
    </row>
    <row r="48" spans="1:15" s="441" customFormat="1">
      <c r="A48" s="2195"/>
      <c r="B48" s="2195"/>
      <c r="C48" s="2204"/>
      <c r="D48" s="2204"/>
      <c r="E48" s="2203" t="s">
        <v>14</v>
      </c>
      <c r="F48" s="2203"/>
      <c r="G48" s="2203"/>
      <c r="H48" s="2203"/>
      <c r="I48" s="2203" t="s">
        <v>14</v>
      </c>
      <c r="J48" s="2203"/>
      <c r="K48" s="2203"/>
      <c r="L48" s="2195"/>
      <c r="M48" s="2195"/>
      <c r="N48" s="2195"/>
      <c r="O48" s="2195"/>
    </row>
    <row r="49" spans="1:15" s="441" customFormat="1">
      <c r="A49" s="2195"/>
      <c r="B49" s="2195"/>
      <c r="C49" s="2204"/>
      <c r="D49" s="2204"/>
      <c r="E49" s="2204" t="s">
        <v>14</v>
      </c>
      <c r="F49" s="2204"/>
      <c r="G49" s="3006"/>
      <c r="H49" s="2195"/>
      <c r="I49" s="3007" t="s">
        <v>14</v>
      </c>
      <c r="J49" s="2204"/>
      <c r="K49" s="2204"/>
      <c r="L49" s="2195"/>
      <c r="M49" s="2195"/>
      <c r="N49" s="2195"/>
      <c r="O49" s="2195"/>
    </row>
    <row r="50" spans="1:15" s="441" customFormat="1">
      <c r="A50" s="2195"/>
      <c r="B50" s="2195"/>
      <c r="C50" s="2204"/>
      <c r="D50" s="2204"/>
      <c r="E50" s="2203" t="s">
        <v>14</v>
      </c>
      <c r="F50" s="2204"/>
      <c r="G50" s="2204"/>
      <c r="H50" s="2195"/>
      <c r="I50" s="3007" t="s">
        <v>14</v>
      </c>
      <c r="J50" s="2204"/>
      <c r="K50" s="2204"/>
      <c r="L50" s="2195"/>
      <c r="M50" s="2195"/>
      <c r="N50" s="2195"/>
      <c r="O50" s="2195"/>
    </row>
    <row r="51" spans="1:15" s="441" customFormat="1">
      <c r="A51" s="2195"/>
      <c r="B51" s="2195"/>
      <c r="C51" s="2204"/>
      <c r="D51" s="2204"/>
      <c r="E51" s="2203" t="s">
        <v>14</v>
      </c>
      <c r="F51" s="2204"/>
      <c r="G51" s="2204"/>
      <c r="H51" s="2195"/>
      <c r="I51" s="3007" t="s">
        <v>14</v>
      </c>
      <c r="J51" s="2204"/>
      <c r="K51" s="2204"/>
      <c r="L51" s="2195"/>
      <c r="M51" s="2195"/>
      <c r="N51" s="2195"/>
      <c r="O51" s="2195"/>
    </row>
    <row r="52" spans="1:15" s="441" customFormat="1">
      <c r="A52" s="2195"/>
      <c r="B52" s="2195"/>
      <c r="C52" s="2204"/>
      <c r="D52" s="2204"/>
      <c r="E52" s="2204"/>
      <c r="F52" s="2204"/>
      <c r="G52" s="2204"/>
      <c r="H52" s="2195"/>
      <c r="I52" s="3007" t="s">
        <v>14</v>
      </c>
      <c r="J52" s="2204"/>
      <c r="K52" s="2204"/>
      <c r="L52" s="2195"/>
      <c r="M52" s="2195"/>
      <c r="N52" s="2195"/>
      <c r="O52" s="2195"/>
    </row>
    <row r="53" spans="1:15" s="441" customFormat="1">
      <c r="A53" s="439"/>
      <c r="B53" s="2195"/>
      <c r="C53" s="2204"/>
      <c r="D53" s="2204"/>
      <c r="E53" s="2204"/>
      <c r="F53" s="2204"/>
      <c r="G53" s="2204"/>
      <c r="H53" s="2195"/>
      <c r="I53" s="3007" t="s">
        <v>14</v>
      </c>
      <c r="J53" s="2204"/>
      <c r="K53" s="2204"/>
      <c r="L53" s="2195"/>
      <c r="M53" s="2195"/>
      <c r="N53" s="2195"/>
      <c r="O53" s="2195"/>
    </row>
    <row r="54" spans="1:15" s="441" customFormat="1">
      <c r="A54" s="2195"/>
      <c r="B54" s="2195"/>
      <c r="C54" s="2204"/>
      <c r="D54" s="2204"/>
      <c r="E54" s="2204"/>
      <c r="F54" s="2204"/>
      <c r="G54" s="2204"/>
      <c r="H54" s="2195"/>
      <c r="I54" s="2195"/>
      <c r="J54" s="2204"/>
      <c r="K54" s="2204"/>
      <c r="L54" s="2195"/>
      <c r="M54" s="2195"/>
      <c r="N54" s="2195"/>
      <c r="O54" s="2195"/>
    </row>
    <row r="55" spans="1:15" s="441" customFormat="1">
      <c r="A55" s="2195"/>
      <c r="B55" s="2195"/>
      <c r="C55" s="2204"/>
      <c r="D55" s="2204"/>
      <c r="E55" s="2204"/>
      <c r="F55" s="2204"/>
      <c r="G55" s="2204"/>
      <c r="H55" s="2195"/>
      <c r="I55" s="2195"/>
      <c r="J55" s="2204"/>
      <c r="K55" s="2204"/>
      <c r="L55" s="2195"/>
      <c r="M55" s="2195"/>
      <c r="N55" s="2195"/>
      <c r="O55" s="2195"/>
    </row>
    <row r="56" spans="1:15" s="441" customFormat="1">
      <c r="A56" s="2195"/>
      <c r="B56" s="2195"/>
      <c r="C56" s="2204"/>
      <c r="D56" s="2204"/>
      <c r="E56" s="2204"/>
      <c r="F56" s="2204"/>
      <c r="G56" s="2204"/>
      <c r="H56" s="2195"/>
      <c r="I56" s="2195"/>
      <c r="J56" s="2204"/>
      <c r="K56" s="2204"/>
      <c r="L56" s="2195"/>
      <c r="M56" s="2195"/>
      <c r="N56" s="2195"/>
      <c r="O56" s="2195"/>
    </row>
    <row r="57" spans="1:15" s="441" customFormat="1">
      <c r="A57" s="2195"/>
      <c r="B57" s="2195"/>
      <c r="C57" s="2204"/>
      <c r="D57" s="2204"/>
      <c r="E57" s="2204"/>
      <c r="F57" s="2204"/>
      <c r="G57" s="2204"/>
      <c r="H57" s="2195"/>
      <c r="I57" s="2195"/>
      <c r="J57" s="2204"/>
      <c r="K57" s="2204"/>
      <c r="L57" s="2195"/>
      <c r="M57" s="2195"/>
      <c r="N57" s="2195"/>
      <c r="O57" s="2195"/>
    </row>
    <row r="58" spans="1:15" s="441" customFormat="1">
      <c r="A58" s="2195"/>
      <c r="B58" s="2195"/>
      <c r="C58" s="2204"/>
      <c r="D58" s="2204"/>
      <c r="E58" s="2204"/>
      <c r="F58" s="2204"/>
      <c r="G58" s="2204"/>
      <c r="H58" s="2195"/>
      <c r="I58" s="2195"/>
      <c r="J58" s="2204"/>
      <c r="K58" s="2204"/>
      <c r="L58" s="2195"/>
      <c r="M58" s="2195"/>
      <c r="N58" s="2195"/>
      <c r="O58" s="2195"/>
    </row>
    <row r="59" spans="1:15" s="441" customFormat="1">
      <c r="A59" s="2195"/>
      <c r="B59" s="2195"/>
      <c r="C59" s="2204"/>
      <c r="D59" s="2204"/>
      <c r="E59" s="2204"/>
      <c r="F59" s="2204"/>
      <c r="G59" s="2204"/>
      <c r="H59" s="2195"/>
      <c r="I59" s="2195"/>
      <c r="J59" s="2204"/>
      <c r="K59" s="2204"/>
      <c r="L59" s="2195"/>
      <c r="M59" s="2195"/>
      <c r="N59" s="2195"/>
      <c r="O59" s="2195"/>
    </row>
    <row r="60" spans="1:15" s="441" customFormat="1">
      <c r="A60" s="2195"/>
      <c r="B60" s="2195"/>
      <c r="C60" s="2204"/>
      <c r="D60" s="2204"/>
      <c r="E60" s="2204"/>
      <c r="F60" s="2204"/>
      <c r="G60" s="2204"/>
      <c r="H60" s="2195"/>
      <c r="I60" s="2195"/>
      <c r="J60" s="2204"/>
      <c r="K60" s="2204"/>
      <c r="L60" s="2195"/>
      <c r="M60" s="2195"/>
      <c r="N60" s="2195"/>
      <c r="O60" s="2195"/>
    </row>
    <row r="61" spans="1:15" s="441" customFormat="1">
      <c r="A61" s="2195"/>
      <c r="B61" s="2195"/>
      <c r="C61" s="2204"/>
      <c r="D61" s="2204"/>
      <c r="E61" s="2204"/>
      <c r="F61" s="2204"/>
      <c r="G61" s="2204"/>
      <c r="H61" s="2195"/>
      <c r="I61" s="2195"/>
      <c r="J61" s="2204"/>
      <c r="K61" s="2204"/>
      <c r="L61" s="2195"/>
      <c r="M61" s="2195"/>
      <c r="N61" s="2195"/>
      <c r="O61" s="2195"/>
    </row>
    <row r="62" spans="1:15" s="441" customFormat="1">
      <c r="A62" s="2195"/>
      <c r="B62" s="2195"/>
      <c r="C62" s="2204"/>
      <c r="D62" s="2204"/>
      <c r="E62" s="2204"/>
      <c r="F62" s="2204"/>
      <c r="G62" s="2204"/>
      <c r="H62" s="2195"/>
      <c r="I62" s="2195"/>
      <c r="J62" s="2204"/>
      <c r="K62" s="2204"/>
      <c r="L62" s="2195"/>
      <c r="M62" s="2195"/>
      <c r="N62" s="2195"/>
      <c r="O62" s="2195"/>
    </row>
    <row r="63" spans="1:15" s="441" customFormat="1">
      <c r="A63" s="2195"/>
      <c r="B63" s="2195"/>
      <c r="C63" s="2204"/>
      <c r="D63" s="2204"/>
      <c r="E63" s="2204"/>
      <c r="F63" s="2204"/>
      <c r="G63" s="2204"/>
      <c r="H63" s="2195"/>
      <c r="I63" s="2195"/>
      <c r="J63" s="2204"/>
      <c r="K63" s="2204"/>
      <c r="L63" s="2195"/>
      <c r="M63" s="2195"/>
      <c r="N63" s="2195"/>
      <c r="O63" s="2195"/>
    </row>
    <row r="64" spans="1:15" s="441" customFormat="1">
      <c r="A64" s="2195"/>
      <c r="B64" s="2195"/>
      <c r="C64" s="2204"/>
      <c r="D64" s="2204"/>
      <c r="E64" s="2204"/>
      <c r="F64" s="2204"/>
      <c r="G64" s="2204"/>
      <c r="H64" s="2195"/>
      <c r="I64" s="2195"/>
      <c r="J64" s="2204"/>
      <c r="K64" s="2204"/>
      <c r="L64" s="2195"/>
      <c r="M64" s="2195"/>
      <c r="N64" s="2195"/>
      <c r="O64" s="2195"/>
    </row>
    <row r="65" spans="1:15" s="441" customFormat="1">
      <c r="A65" s="2195"/>
      <c r="B65" s="2195"/>
      <c r="C65" s="2204"/>
      <c r="D65" s="2204"/>
      <c r="E65" s="2204"/>
      <c r="F65" s="2204"/>
      <c r="G65" s="2204"/>
      <c r="H65" s="2195"/>
      <c r="I65" s="2195"/>
      <c r="J65" s="2204"/>
      <c r="K65" s="2204"/>
      <c r="L65" s="2195"/>
      <c r="M65" s="2195"/>
      <c r="N65" s="2195"/>
      <c r="O65" s="2195"/>
    </row>
    <row r="66" spans="1:15" s="441" customFormat="1">
      <c r="A66" s="2195"/>
      <c r="B66" s="2195"/>
      <c r="C66" s="2204"/>
      <c r="D66" s="2204"/>
      <c r="E66" s="2204"/>
      <c r="F66" s="2204"/>
      <c r="G66" s="2204"/>
      <c r="H66" s="2195"/>
      <c r="I66" s="2195"/>
      <c r="J66" s="2204"/>
      <c r="K66" s="2204"/>
      <c r="L66" s="2195"/>
      <c r="M66" s="2195"/>
      <c r="N66" s="2195"/>
      <c r="O66" s="2195"/>
    </row>
    <row r="67" spans="1:15" s="441" customFormat="1">
      <c r="A67" s="2195"/>
      <c r="B67" s="2195"/>
      <c r="C67" s="2204"/>
      <c r="D67" s="2204"/>
      <c r="E67" s="2204"/>
      <c r="F67" s="2204"/>
      <c r="G67" s="2204"/>
      <c r="H67" s="2195"/>
      <c r="I67" s="2195"/>
      <c r="J67" s="2204"/>
      <c r="K67" s="2204"/>
      <c r="L67" s="2195"/>
      <c r="M67" s="2195"/>
      <c r="N67" s="2195"/>
      <c r="O67" s="2195"/>
    </row>
    <row r="68" spans="1:15" s="441" customFormat="1">
      <c r="A68" s="2195"/>
      <c r="B68" s="2195"/>
      <c r="C68" s="2204"/>
      <c r="D68" s="2204"/>
      <c r="E68" s="2204"/>
      <c r="F68" s="2204"/>
      <c r="G68" s="2204"/>
      <c r="H68" s="2195"/>
      <c r="I68" s="2195"/>
      <c r="J68" s="2204"/>
      <c r="K68" s="2204"/>
      <c r="L68" s="2195"/>
      <c r="M68" s="2195"/>
      <c r="N68" s="2195"/>
      <c r="O68" s="2195"/>
    </row>
    <row r="69" spans="1:15" s="441" customFormat="1">
      <c r="A69" s="2195"/>
      <c r="B69" s="2195"/>
      <c r="C69" s="2204"/>
      <c r="D69" s="2204"/>
      <c r="E69" s="2204"/>
      <c r="F69" s="2204"/>
      <c r="G69" s="2204"/>
      <c r="H69" s="2195"/>
      <c r="I69" s="2195"/>
      <c r="J69" s="2204"/>
      <c r="K69" s="2204"/>
      <c r="L69" s="2195"/>
      <c r="M69" s="2195"/>
      <c r="N69" s="2195"/>
      <c r="O69" s="2195"/>
    </row>
    <row r="70" spans="1:15" s="441" customFormat="1">
      <c r="A70" s="2195"/>
      <c r="B70" s="2195"/>
      <c r="C70" s="2204"/>
      <c r="D70" s="2204"/>
      <c r="E70" s="2204"/>
      <c r="F70" s="2204"/>
      <c r="G70" s="2204"/>
      <c r="H70" s="2195"/>
      <c r="I70" s="2195"/>
      <c r="J70" s="2204"/>
      <c r="K70" s="2204"/>
      <c r="L70" s="2195"/>
      <c r="M70" s="2195"/>
      <c r="N70" s="2195"/>
      <c r="O70" s="2195"/>
    </row>
    <row r="71" spans="1:15" s="441" customFormat="1">
      <c r="A71" s="2195"/>
      <c r="B71" s="2195"/>
      <c r="C71" s="2204"/>
      <c r="D71" s="2204"/>
      <c r="E71" s="2204"/>
      <c r="F71" s="2204"/>
      <c r="G71" s="2204"/>
      <c r="H71" s="2195"/>
      <c r="I71" s="2195"/>
      <c r="J71" s="2204"/>
      <c r="K71" s="2204"/>
      <c r="L71" s="2195"/>
      <c r="M71" s="2195"/>
      <c r="N71" s="2195"/>
      <c r="O71" s="2195"/>
    </row>
    <row r="72" spans="1:15" s="441" customFormat="1">
      <c r="A72" s="2195"/>
      <c r="B72" s="2195"/>
      <c r="C72" s="2204"/>
      <c r="D72" s="2204"/>
      <c r="E72" s="2204"/>
      <c r="F72" s="2204"/>
      <c r="G72" s="2204"/>
      <c r="H72" s="2195"/>
      <c r="I72" s="2195"/>
      <c r="J72" s="2204"/>
      <c r="K72" s="2204"/>
      <c r="L72" s="2195"/>
      <c r="M72" s="2195"/>
      <c r="N72" s="2195"/>
      <c r="O72" s="2195"/>
    </row>
    <row r="73" spans="1:15" s="441" customFormat="1">
      <c r="A73" s="2195"/>
      <c r="B73" s="2195"/>
      <c r="C73" s="2204"/>
      <c r="D73" s="2204"/>
      <c r="E73" s="2204"/>
      <c r="F73" s="2204"/>
      <c r="G73" s="2204"/>
      <c r="H73" s="2195"/>
      <c r="I73" s="2195"/>
      <c r="J73" s="2204"/>
      <c r="K73" s="2204"/>
      <c r="L73" s="2195"/>
      <c r="M73" s="2195"/>
      <c r="N73" s="2195"/>
      <c r="O73" s="2195"/>
    </row>
    <row r="74" spans="1:15" s="441" customFormat="1">
      <c r="A74" s="2195"/>
      <c r="B74" s="2195"/>
      <c r="C74" s="2204"/>
      <c r="D74" s="2204"/>
      <c r="E74" s="2204"/>
      <c r="F74" s="2204"/>
      <c r="G74" s="2204"/>
      <c r="H74" s="2195"/>
      <c r="I74" s="2195"/>
      <c r="J74" s="2204"/>
      <c r="K74" s="2204"/>
      <c r="L74" s="2195"/>
      <c r="M74" s="2195"/>
      <c r="N74" s="2195"/>
      <c r="O74" s="2195"/>
    </row>
    <row r="75" spans="1:15" s="441" customFormat="1">
      <c r="A75" s="2195"/>
      <c r="B75" s="2195"/>
      <c r="C75" s="2204"/>
      <c r="D75" s="2204"/>
      <c r="E75" s="2204"/>
      <c r="F75" s="2204"/>
      <c r="G75" s="2204"/>
      <c r="H75" s="2195"/>
      <c r="I75" s="2195"/>
      <c r="J75" s="2204"/>
      <c r="K75" s="2204"/>
      <c r="L75" s="2195"/>
      <c r="M75" s="2195"/>
      <c r="N75" s="2195"/>
      <c r="O75" s="2195"/>
    </row>
    <row r="76" spans="1:15" s="441" customFormat="1">
      <c r="A76" s="2195"/>
      <c r="B76" s="2195"/>
      <c r="C76" s="2204"/>
      <c r="D76" s="2204"/>
      <c r="E76" s="2204"/>
      <c r="F76" s="2204"/>
      <c r="G76" s="2204"/>
      <c r="H76" s="2195"/>
      <c r="I76" s="2195"/>
      <c r="J76" s="2204"/>
      <c r="K76" s="2204"/>
      <c r="L76" s="2195"/>
      <c r="M76" s="2195"/>
      <c r="N76" s="2195"/>
      <c r="O76" s="2195"/>
    </row>
    <row r="77" spans="1:15" s="441" customFormat="1">
      <c r="A77" s="2195"/>
      <c r="B77" s="2195"/>
      <c r="C77" s="2204"/>
      <c r="D77" s="2204"/>
      <c r="E77" s="2204"/>
      <c r="F77" s="2204"/>
      <c r="G77" s="2204"/>
      <c r="H77" s="2195"/>
      <c r="I77" s="2195"/>
      <c r="J77" s="2204"/>
      <c r="K77" s="2204"/>
      <c r="L77" s="2195"/>
      <c r="M77" s="2195"/>
      <c r="N77" s="2195"/>
      <c r="O77" s="2195"/>
    </row>
    <row r="78" spans="1:15" s="441" customFormat="1">
      <c r="A78" s="2195"/>
      <c r="B78" s="2195"/>
      <c r="C78" s="2204"/>
      <c r="D78" s="2204"/>
      <c r="E78" s="2204"/>
      <c r="F78" s="2204"/>
      <c r="G78" s="2204"/>
      <c r="H78" s="2195"/>
      <c r="I78" s="2195"/>
      <c r="J78" s="2204"/>
      <c r="K78" s="2204"/>
      <c r="L78" s="2195"/>
      <c r="M78" s="2195"/>
      <c r="N78" s="2195"/>
      <c r="O78" s="2195"/>
    </row>
    <row r="79" spans="1:15" s="441" customFormat="1">
      <c r="A79" s="2195"/>
      <c r="B79" s="2195"/>
      <c r="C79" s="2204"/>
      <c r="D79" s="2204"/>
      <c r="E79" s="2204"/>
      <c r="F79" s="2204"/>
      <c r="G79" s="2204"/>
      <c r="H79" s="2195"/>
      <c r="I79" s="2195"/>
      <c r="J79" s="2204"/>
      <c r="K79" s="2204"/>
      <c r="L79" s="2195"/>
      <c r="M79" s="2195"/>
      <c r="N79" s="2195"/>
      <c r="O79" s="2195"/>
    </row>
    <row r="80" spans="1:15" s="441" customFormat="1">
      <c r="A80" s="2195"/>
      <c r="B80" s="2195"/>
      <c r="C80" s="2204"/>
      <c r="D80" s="2204"/>
      <c r="E80" s="2204"/>
      <c r="F80" s="2204"/>
      <c r="G80" s="2204"/>
      <c r="H80" s="2195"/>
      <c r="I80" s="2195"/>
      <c r="J80" s="2204"/>
      <c r="K80" s="2204"/>
      <c r="L80" s="2195"/>
      <c r="M80" s="2195"/>
      <c r="N80" s="2195"/>
      <c r="O80" s="2195"/>
    </row>
    <row r="81" spans="1:15" s="441" customFormat="1">
      <c r="A81" s="2195"/>
      <c r="B81" s="2195"/>
      <c r="C81" s="2204"/>
      <c r="D81" s="2204"/>
      <c r="E81" s="2204"/>
      <c r="F81" s="2204"/>
      <c r="G81" s="2204"/>
      <c r="H81" s="2195"/>
      <c r="I81" s="2195"/>
      <c r="J81" s="2204"/>
      <c r="K81" s="2204"/>
      <c r="L81" s="2195"/>
      <c r="M81" s="2195"/>
      <c r="N81" s="2195"/>
      <c r="O81" s="2195"/>
    </row>
    <row r="82" spans="1:15" s="441" customFormat="1">
      <c r="A82" s="2195"/>
      <c r="B82" s="2195"/>
      <c r="C82" s="2204"/>
      <c r="D82" s="2204"/>
      <c r="E82" s="2204"/>
      <c r="F82" s="2204"/>
      <c r="G82" s="2204"/>
      <c r="H82" s="2195"/>
      <c r="I82" s="2195"/>
      <c r="J82" s="2204"/>
      <c r="K82" s="2204"/>
      <c r="L82" s="2195"/>
      <c r="M82" s="2195"/>
      <c r="N82" s="2195"/>
      <c r="O82" s="2195"/>
    </row>
    <row r="83" spans="1:15" s="441" customFormat="1">
      <c r="A83" s="2195"/>
      <c r="B83" s="2195"/>
      <c r="C83" s="2204"/>
      <c r="D83" s="2204"/>
      <c r="E83" s="2204"/>
      <c r="F83" s="2204"/>
      <c r="G83" s="2204"/>
      <c r="H83" s="2195"/>
      <c r="I83" s="2195"/>
      <c r="J83" s="2204"/>
      <c r="K83" s="2204"/>
      <c r="L83" s="2195"/>
      <c r="M83" s="2195"/>
      <c r="N83" s="2195"/>
      <c r="O83" s="2195"/>
    </row>
    <row r="84" spans="1:15" s="441" customFormat="1">
      <c r="A84" s="2195"/>
      <c r="B84" s="2195"/>
      <c r="C84" s="2204"/>
      <c r="D84" s="2204"/>
      <c r="E84" s="2204"/>
      <c r="F84" s="2204"/>
      <c r="G84" s="2204"/>
      <c r="H84" s="2195"/>
      <c r="I84" s="2195"/>
      <c r="J84" s="2204"/>
      <c r="K84" s="2204"/>
      <c r="L84" s="2195"/>
      <c r="M84" s="2195"/>
      <c r="N84" s="2195"/>
      <c r="O84" s="2195"/>
    </row>
    <row r="85" spans="1:15" s="441" customFormat="1">
      <c r="A85" s="2195"/>
      <c r="B85" s="2195"/>
      <c r="C85" s="2204"/>
      <c r="D85" s="2204"/>
      <c r="E85" s="2204"/>
      <c r="F85" s="2204"/>
      <c r="G85" s="2204"/>
      <c r="H85" s="2195"/>
      <c r="I85" s="2195"/>
      <c r="J85" s="2204"/>
      <c r="K85" s="2204"/>
      <c r="L85" s="2195"/>
      <c r="M85" s="2195"/>
      <c r="N85" s="2195"/>
      <c r="O85" s="2195"/>
    </row>
    <row r="86" spans="1:15" s="441" customFormat="1">
      <c r="A86" s="2195"/>
      <c r="B86" s="2195"/>
      <c r="C86" s="2204"/>
      <c r="D86" s="2204"/>
      <c r="E86" s="2204"/>
      <c r="F86" s="2204"/>
      <c r="G86" s="2204"/>
      <c r="H86" s="2195"/>
      <c r="I86" s="2195"/>
      <c r="J86" s="2204"/>
      <c r="K86" s="2204"/>
      <c r="L86" s="2195"/>
      <c r="M86" s="2195"/>
      <c r="N86" s="2195"/>
      <c r="O86" s="2195"/>
    </row>
    <row r="87" spans="1:15" s="441" customFormat="1">
      <c r="A87" s="2195"/>
      <c r="B87" s="2195"/>
      <c r="C87" s="2204"/>
      <c r="D87" s="2204"/>
      <c r="E87" s="2204"/>
      <c r="F87" s="2204"/>
      <c r="G87" s="2204"/>
      <c r="H87" s="2195"/>
      <c r="I87" s="2195"/>
      <c r="J87" s="2204"/>
      <c r="K87" s="2204"/>
      <c r="L87" s="2195"/>
      <c r="M87" s="2195"/>
      <c r="N87" s="2195"/>
      <c r="O87" s="2195"/>
    </row>
    <row r="88" spans="1:15" s="441" customFormat="1">
      <c r="A88" s="2195"/>
      <c r="B88" s="2195"/>
      <c r="C88" s="2204"/>
      <c r="D88" s="2204"/>
      <c r="E88" s="2204"/>
      <c r="F88" s="2204"/>
      <c r="G88" s="2204"/>
      <c r="H88" s="2195"/>
      <c r="I88" s="2195"/>
      <c r="J88" s="2204"/>
      <c r="K88" s="2204"/>
      <c r="L88" s="2195"/>
      <c r="M88" s="2195"/>
      <c r="N88" s="2195"/>
      <c r="O88" s="2195"/>
    </row>
    <row r="89" spans="1:15" s="441" customFormat="1">
      <c r="A89" s="2195"/>
      <c r="B89" s="2195"/>
      <c r="C89" s="2204"/>
      <c r="D89" s="2204"/>
      <c r="E89" s="2204"/>
      <c r="F89" s="2204"/>
      <c r="G89" s="2204"/>
      <c r="H89" s="2195"/>
      <c r="I89" s="2195"/>
      <c r="J89" s="2204"/>
      <c r="K89" s="2204"/>
      <c r="L89" s="2195"/>
      <c r="M89" s="2195"/>
      <c r="N89" s="2195"/>
      <c r="O89" s="2195"/>
    </row>
    <row r="90" spans="1:15" s="441" customFormat="1">
      <c r="A90" s="2195"/>
      <c r="B90" s="2195"/>
      <c r="C90" s="2204"/>
      <c r="D90" s="2204"/>
      <c r="E90" s="2204"/>
      <c r="F90" s="2204"/>
      <c r="G90" s="2204"/>
      <c r="H90" s="2195"/>
      <c r="I90" s="2195"/>
      <c r="J90" s="2204"/>
      <c r="K90" s="2204"/>
      <c r="L90" s="2195"/>
      <c r="M90" s="2195"/>
      <c r="N90" s="2195"/>
      <c r="O90" s="2195"/>
    </row>
    <row r="91" spans="1:15" s="441" customFormat="1">
      <c r="A91" s="2195"/>
      <c r="B91" s="2195"/>
      <c r="C91" s="2204"/>
      <c r="D91" s="2204"/>
      <c r="E91" s="2204"/>
      <c r="F91" s="2204"/>
      <c r="G91" s="2204"/>
      <c r="H91" s="2195"/>
      <c r="I91" s="2195"/>
      <c r="J91" s="2204"/>
      <c r="K91" s="2204"/>
      <c r="L91" s="2195"/>
      <c r="M91" s="2195"/>
      <c r="N91" s="2195"/>
      <c r="O91" s="2195"/>
    </row>
    <row r="92" spans="1:15" s="441" customFormat="1">
      <c r="A92" s="2195"/>
      <c r="B92" s="2195"/>
      <c r="C92" s="2204"/>
      <c r="D92" s="2204"/>
      <c r="E92" s="2204"/>
      <c r="F92" s="2204"/>
      <c r="G92" s="2204"/>
      <c r="H92" s="2195"/>
      <c r="I92" s="2195"/>
      <c r="J92" s="2204"/>
      <c r="K92" s="2204"/>
      <c r="L92" s="2195"/>
      <c r="M92" s="2195"/>
      <c r="N92" s="2195"/>
      <c r="O92" s="2195"/>
    </row>
    <row r="93" spans="1:15" s="441" customFormat="1">
      <c r="A93" s="2195"/>
      <c r="B93" s="2195"/>
      <c r="C93" s="2204"/>
      <c r="D93" s="2204"/>
      <c r="E93" s="2204"/>
      <c r="F93" s="2204"/>
      <c r="G93" s="2204"/>
      <c r="H93" s="2195"/>
      <c r="I93" s="2195"/>
      <c r="J93" s="2204"/>
      <c r="K93" s="2204"/>
      <c r="L93" s="2195"/>
      <c r="M93" s="2195"/>
      <c r="N93" s="2195"/>
      <c r="O93" s="2195"/>
    </row>
    <row r="94" spans="1:15" s="441" customFormat="1">
      <c r="A94" s="2195"/>
      <c r="B94" s="2195"/>
      <c r="C94" s="2204"/>
      <c r="D94" s="2204"/>
      <c r="E94" s="2204"/>
      <c r="F94" s="2204"/>
      <c r="G94" s="2204"/>
      <c r="H94" s="2195"/>
      <c r="I94" s="2195"/>
      <c r="J94" s="2204"/>
      <c r="K94" s="2204"/>
      <c r="L94" s="2195"/>
      <c r="M94" s="2195"/>
      <c r="N94" s="2195"/>
      <c r="O94" s="2195"/>
    </row>
    <row r="95" spans="1:15" s="441" customFormat="1">
      <c r="A95" s="2195"/>
      <c r="B95" s="2195"/>
      <c r="C95" s="2204"/>
      <c r="D95" s="2204"/>
      <c r="E95" s="2204"/>
      <c r="F95" s="2204"/>
      <c r="G95" s="2204"/>
      <c r="H95" s="2195"/>
      <c r="I95" s="2195"/>
      <c r="J95" s="2204"/>
      <c r="K95" s="2204"/>
      <c r="L95" s="2195"/>
      <c r="M95" s="2195"/>
      <c r="N95" s="2195"/>
      <c r="O95" s="2195"/>
    </row>
  </sheetData>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80" workbookViewId="0"/>
  </sheetViews>
  <sheetFormatPr defaultColWidth="8.81640625" defaultRowHeight="13.2"/>
  <cols>
    <col min="1" max="1" width="56.08984375" style="444" customWidth="1"/>
    <col min="2" max="2" width="5.81640625" style="444" customWidth="1"/>
    <col min="3" max="3" width="9.81640625" style="444" customWidth="1"/>
    <col min="4" max="4" width="20.81640625" style="444" customWidth="1"/>
    <col min="5" max="5" width="1.81640625" style="444" customWidth="1"/>
    <col min="6" max="6" width="20.81640625" style="444" customWidth="1"/>
    <col min="7" max="7" width="2.08984375" style="444" customWidth="1"/>
    <col min="8" max="8" width="20.81640625" style="444" customWidth="1"/>
    <col min="9" max="9" width="1.81640625" style="444" customWidth="1"/>
    <col min="10" max="10" width="20.81640625" style="444" customWidth="1"/>
    <col min="11" max="11" width="2.08984375" style="444" customWidth="1"/>
    <col min="12" max="12" width="22.81640625" style="444" customWidth="1"/>
    <col min="13" max="13" width="2.453125" style="444" customWidth="1"/>
    <col min="14" max="14" width="10.81640625" style="444" bestFit="1" customWidth="1"/>
    <col min="15" max="15" width="12.54296875" style="444" bestFit="1" customWidth="1"/>
    <col min="16" max="16384" width="8.81640625" style="444"/>
  </cols>
  <sheetData>
    <row r="1" spans="1:256" ht="15">
      <c r="A1" s="635" t="s">
        <v>881</v>
      </c>
    </row>
    <row r="2" spans="1:256" ht="18" customHeight="1"/>
    <row r="3" spans="1:256" ht="17.399999999999999">
      <c r="A3" s="445" t="s">
        <v>0</v>
      </c>
      <c r="B3" s="446"/>
      <c r="C3" s="446"/>
      <c r="D3" s="447"/>
      <c r="E3" s="447"/>
      <c r="F3" s="446"/>
      <c r="G3" s="446" t="s">
        <v>14</v>
      </c>
      <c r="H3" s="446"/>
      <c r="I3" s="446"/>
      <c r="J3" s="446"/>
      <c r="K3" s="446"/>
      <c r="L3" s="448" t="s">
        <v>366</v>
      </c>
      <c r="M3" s="447"/>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r="4" spans="1:256" ht="17.399999999999999">
      <c r="A4" s="445" t="s">
        <v>367</v>
      </c>
      <c r="B4" s="446"/>
      <c r="C4" s="446"/>
      <c r="D4" s="447"/>
      <c r="E4" s="447"/>
      <c r="F4" s="446"/>
      <c r="G4" s="446"/>
      <c r="H4" s="446"/>
      <c r="I4" s="446"/>
      <c r="J4" s="446"/>
      <c r="K4" s="446"/>
      <c r="L4" s="450"/>
      <c r="M4" s="447"/>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row>
    <row r="5" spans="1:256" ht="17.399999999999999">
      <c r="A5" s="451" t="s">
        <v>1178</v>
      </c>
      <c r="B5" s="446"/>
      <c r="C5" s="446"/>
      <c r="D5" s="447"/>
      <c r="E5" s="447"/>
      <c r="F5" s="446"/>
      <c r="G5" s="446"/>
      <c r="H5" s="446"/>
      <c r="I5" s="446"/>
      <c r="J5" s="446"/>
      <c r="K5" s="446"/>
      <c r="L5" s="446"/>
      <c r="M5" s="447"/>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H5" s="449"/>
      <c r="GI5" s="449"/>
      <c r="GJ5" s="449"/>
      <c r="GK5" s="449"/>
      <c r="GL5" s="449"/>
      <c r="GM5" s="449"/>
      <c r="GN5" s="449"/>
      <c r="GO5" s="449"/>
      <c r="GP5" s="449"/>
      <c r="GQ5" s="449"/>
      <c r="GR5" s="449"/>
      <c r="GS5" s="449"/>
      <c r="GT5" s="449"/>
      <c r="GU5" s="449"/>
      <c r="GV5" s="449"/>
      <c r="GW5" s="449"/>
      <c r="GX5" s="449"/>
      <c r="GY5" s="449"/>
      <c r="GZ5" s="449"/>
      <c r="HA5" s="449"/>
      <c r="HB5" s="449"/>
      <c r="HC5" s="449"/>
      <c r="HD5" s="449"/>
      <c r="HE5" s="449"/>
      <c r="HF5" s="449"/>
      <c r="HG5" s="449"/>
      <c r="HH5" s="449"/>
      <c r="HI5" s="449"/>
      <c r="HJ5" s="449"/>
      <c r="HK5" s="449"/>
      <c r="HL5" s="449"/>
      <c r="HM5" s="449"/>
      <c r="HN5" s="449"/>
      <c r="HO5" s="449"/>
      <c r="HP5" s="449"/>
      <c r="HQ5" s="449"/>
      <c r="HR5" s="449"/>
      <c r="HS5" s="449"/>
      <c r="HT5" s="449"/>
      <c r="HU5" s="449"/>
      <c r="HV5" s="449"/>
      <c r="HW5" s="449"/>
      <c r="HX5" s="449"/>
      <c r="HY5" s="449"/>
      <c r="HZ5" s="449"/>
      <c r="IA5" s="449"/>
      <c r="IB5" s="449"/>
      <c r="IC5" s="449"/>
      <c r="ID5" s="449"/>
      <c r="IE5" s="449"/>
      <c r="IF5" s="449"/>
      <c r="IG5" s="449"/>
      <c r="IH5" s="449"/>
      <c r="II5" s="449"/>
      <c r="IJ5" s="449"/>
      <c r="IK5" s="449"/>
      <c r="IL5" s="449"/>
      <c r="IM5" s="449"/>
      <c r="IN5" s="449"/>
      <c r="IO5" s="449"/>
      <c r="IP5" s="449"/>
      <c r="IQ5" s="449"/>
      <c r="IR5" s="449"/>
      <c r="IS5" s="449"/>
      <c r="IT5" s="449"/>
      <c r="IU5" s="449"/>
      <c r="IV5" s="449"/>
    </row>
    <row r="6" spans="1:256" ht="17.399999999999999">
      <c r="A6" s="451" t="str">
        <f>'Sch 2 '!A7</f>
        <v>FISCAL YEAR 2021-2022</v>
      </c>
      <c r="B6" s="446"/>
      <c r="C6" s="446"/>
      <c r="D6" s="447"/>
      <c r="E6" s="447"/>
      <c r="F6" s="446"/>
      <c r="G6" s="446"/>
      <c r="H6" s="446"/>
      <c r="I6" s="446"/>
      <c r="J6" s="446"/>
      <c r="K6" s="446"/>
      <c r="L6" s="446"/>
      <c r="M6" s="447"/>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H6" s="449"/>
      <c r="GI6" s="449"/>
      <c r="GJ6" s="449"/>
      <c r="GK6" s="449"/>
      <c r="GL6" s="449"/>
      <c r="GM6" s="449"/>
      <c r="GN6" s="449"/>
      <c r="GO6" s="449"/>
      <c r="GP6" s="449"/>
      <c r="GQ6" s="449"/>
      <c r="GR6" s="449"/>
      <c r="GS6" s="449"/>
      <c r="GT6" s="449"/>
      <c r="GU6" s="449"/>
      <c r="GV6" s="449"/>
      <c r="GW6" s="449"/>
      <c r="GX6" s="449"/>
      <c r="GY6" s="449"/>
      <c r="GZ6" s="449"/>
      <c r="HA6" s="449"/>
      <c r="HB6" s="449"/>
      <c r="HC6" s="449"/>
      <c r="HD6" s="449"/>
      <c r="HE6" s="449"/>
      <c r="HF6" s="449"/>
      <c r="HG6" s="449"/>
      <c r="HH6" s="449"/>
      <c r="HI6" s="449"/>
      <c r="HJ6" s="449"/>
      <c r="HK6" s="449"/>
      <c r="HL6" s="449"/>
      <c r="HM6" s="449"/>
      <c r="HN6" s="449"/>
      <c r="HO6" s="449"/>
      <c r="HP6" s="449"/>
      <c r="HQ6" s="449"/>
      <c r="HR6" s="449"/>
      <c r="HS6" s="449"/>
      <c r="HT6" s="449"/>
      <c r="HU6" s="449"/>
      <c r="HV6" s="449"/>
      <c r="HW6" s="449"/>
      <c r="HX6" s="449"/>
      <c r="HY6" s="449"/>
      <c r="HZ6" s="449"/>
      <c r="IA6" s="449"/>
      <c r="IB6" s="449"/>
      <c r="IC6" s="449"/>
      <c r="ID6" s="449"/>
      <c r="IE6" s="449"/>
      <c r="IF6" s="449"/>
      <c r="IG6" s="449"/>
      <c r="IH6" s="449"/>
      <c r="II6" s="449"/>
      <c r="IJ6" s="449"/>
      <c r="IK6" s="449"/>
      <c r="IL6" s="449"/>
      <c r="IM6" s="449"/>
      <c r="IN6" s="449"/>
      <c r="IO6" s="449"/>
      <c r="IP6" s="449"/>
      <c r="IQ6" s="449"/>
      <c r="IR6" s="449"/>
      <c r="IS6" s="449"/>
      <c r="IT6" s="449"/>
      <c r="IU6" s="449"/>
      <c r="IV6" s="449"/>
    </row>
    <row r="7" spans="1:256" ht="17.399999999999999">
      <c r="A7" s="451" t="str">
        <f>'Sch 2 '!A8</f>
        <v>FOR THE MONTH OF JANUARY 2022</v>
      </c>
      <c r="B7" s="446"/>
      <c r="C7" s="446"/>
      <c r="D7" s="447"/>
      <c r="E7" s="447"/>
      <c r="F7" s="446"/>
      <c r="G7" s="446"/>
      <c r="H7" s="446"/>
      <c r="I7" s="446"/>
      <c r="J7" s="446"/>
      <c r="K7" s="446"/>
      <c r="L7" s="446"/>
      <c r="M7" s="447"/>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49"/>
      <c r="ES7" s="449"/>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H7" s="449"/>
      <c r="GI7" s="449"/>
      <c r="GJ7" s="449"/>
      <c r="GK7" s="449"/>
      <c r="GL7" s="449"/>
      <c r="GM7" s="449"/>
      <c r="GN7" s="449"/>
      <c r="GO7" s="449"/>
      <c r="GP7" s="449"/>
      <c r="GQ7" s="449"/>
      <c r="GR7" s="449"/>
      <c r="GS7" s="449"/>
      <c r="GT7" s="449"/>
      <c r="GU7" s="449"/>
      <c r="GV7" s="449"/>
      <c r="GW7" s="449"/>
      <c r="GX7" s="449"/>
      <c r="GY7" s="449"/>
      <c r="GZ7" s="449"/>
      <c r="HA7" s="449"/>
      <c r="HB7" s="449"/>
      <c r="HC7" s="449"/>
      <c r="HD7" s="449"/>
      <c r="HE7" s="449"/>
      <c r="HF7" s="449"/>
      <c r="HG7" s="449"/>
      <c r="HH7" s="449"/>
      <c r="HI7" s="449"/>
      <c r="HJ7" s="449"/>
      <c r="HK7" s="449"/>
      <c r="HL7" s="449"/>
      <c r="HM7" s="449"/>
      <c r="HN7" s="449"/>
      <c r="HO7" s="449"/>
      <c r="HP7" s="449"/>
      <c r="HQ7" s="449"/>
      <c r="HR7" s="449"/>
      <c r="HS7" s="449"/>
      <c r="HT7" s="449"/>
      <c r="HU7" s="449"/>
      <c r="HV7" s="449"/>
      <c r="HW7" s="449"/>
      <c r="HX7" s="449"/>
      <c r="HY7" s="449"/>
      <c r="HZ7" s="449"/>
      <c r="IA7" s="449"/>
      <c r="IB7" s="449"/>
      <c r="IC7" s="449"/>
      <c r="ID7" s="449"/>
      <c r="IE7" s="449"/>
      <c r="IF7" s="449"/>
      <c r="IG7" s="449"/>
      <c r="IH7" s="449"/>
      <c r="II7" s="449"/>
      <c r="IJ7" s="449"/>
      <c r="IK7" s="449"/>
      <c r="IL7" s="449"/>
      <c r="IM7" s="449"/>
      <c r="IN7" s="449"/>
      <c r="IO7" s="449"/>
      <c r="IP7" s="449"/>
      <c r="IQ7" s="449"/>
      <c r="IR7" s="449"/>
      <c r="IS7" s="449"/>
      <c r="IT7" s="449"/>
      <c r="IU7" s="449"/>
      <c r="IV7" s="449"/>
    </row>
    <row r="8" spans="1:256" ht="17.399999999999999">
      <c r="A8" s="792" t="s">
        <v>1263</v>
      </c>
      <c r="B8" s="446"/>
      <c r="C8" s="446"/>
      <c r="D8" s="447"/>
      <c r="E8" s="447"/>
      <c r="F8" s="446"/>
      <c r="G8" s="446"/>
      <c r="H8" s="446"/>
      <c r="I8" s="446"/>
      <c r="J8" s="446"/>
      <c r="K8" s="446"/>
      <c r="L8" s="446"/>
      <c r="M8" s="447"/>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49"/>
      <c r="GD8" s="449"/>
      <c r="GE8" s="449"/>
      <c r="GF8" s="449"/>
      <c r="GG8" s="449"/>
      <c r="GH8" s="449"/>
      <c r="GI8" s="449"/>
      <c r="GJ8" s="449"/>
      <c r="GK8" s="449"/>
      <c r="GL8" s="449"/>
      <c r="GM8" s="449"/>
      <c r="GN8" s="449"/>
      <c r="GO8" s="449"/>
      <c r="GP8" s="449"/>
      <c r="GQ8" s="449"/>
      <c r="GR8" s="449"/>
      <c r="GS8" s="449"/>
      <c r="GT8" s="449"/>
      <c r="GU8" s="449"/>
      <c r="GV8" s="449"/>
      <c r="GW8" s="449"/>
      <c r="GX8" s="449"/>
      <c r="GY8" s="449"/>
      <c r="GZ8" s="449"/>
      <c r="HA8" s="449"/>
      <c r="HB8" s="449"/>
      <c r="HC8" s="449"/>
      <c r="HD8" s="449"/>
      <c r="HE8" s="449"/>
      <c r="HF8" s="449"/>
      <c r="HG8" s="449"/>
      <c r="HH8" s="449"/>
      <c r="HI8" s="449"/>
      <c r="HJ8" s="449"/>
      <c r="HK8" s="449"/>
      <c r="HL8" s="449"/>
      <c r="HM8" s="449"/>
      <c r="HN8" s="449"/>
      <c r="HO8" s="449"/>
      <c r="HP8" s="449"/>
      <c r="HQ8" s="449"/>
      <c r="HR8" s="449"/>
      <c r="HS8" s="449"/>
      <c r="HT8" s="449"/>
      <c r="HU8" s="449"/>
      <c r="HV8" s="449"/>
      <c r="HW8" s="449"/>
      <c r="HX8" s="449"/>
      <c r="HY8" s="449"/>
      <c r="HZ8" s="449"/>
      <c r="IA8" s="449"/>
      <c r="IB8" s="449"/>
      <c r="IC8" s="449"/>
      <c r="ID8" s="449"/>
      <c r="IE8" s="449"/>
      <c r="IF8" s="449"/>
      <c r="IG8" s="449"/>
      <c r="IH8" s="449"/>
      <c r="II8" s="449"/>
      <c r="IJ8" s="449"/>
      <c r="IK8" s="449"/>
      <c r="IL8" s="449"/>
      <c r="IM8" s="449"/>
      <c r="IN8" s="449"/>
      <c r="IO8" s="449"/>
      <c r="IP8" s="449"/>
      <c r="IQ8" s="449"/>
      <c r="IR8" s="449"/>
      <c r="IS8" s="449"/>
      <c r="IT8" s="449"/>
      <c r="IU8" s="449"/>
      <c r="IV8" s="449"/>
    </row>
    <row r="9" spans="1:256" ht="17.399999999999999">
      <c r="A9" s="445"/>
      <c r="B9" s="445"/>
      <c r="C9" s="445"/>
      <c r="D9" s="681"/>
      <c r="E9" s="445"/>
      <c r="F9" s="445"/>
      <c r="G9" s="445"/>
      <c r="H9" s="445"/>
      <c r="I9" s="445"/>
      <c r="J9" s="681" t="s">
        <v>351</v>
      </c>
      <c r="K9" s="445"/>
      <c r="L9" s="681"/>
      <c r="M9" s="447"/>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row>
    <row r="10" spans="1:256" ht="17.399999999999999">
      <c r="A10" s="445"/>
      <c r="B10" s="445"/>
      <c r="C10" s="445"/>
      <c r="D10" s="681" t="s">
        <v>232</v>
      </c>
      <c r="E10" s="445"/>
      <c r="F10" s="445"/>
      <c r="G10" s="445"/>
      <c r="H10" s="445"/>
      <c r="I10" s="445"/>
      <c r="J10" s="681" t="s">
        <v>352</v>
      </c>
      <c r="K10" s="445"/>
      <c r="L10" s="681" t="s">
        <v>232</v>
      </c>
      <c r="M10" s="447"/>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c r="HK10" s="449"/>
      <c r="HL10" s="449"/>
      <c r="HM10" s="449"/>
      <c r="HN10" s="449"/>
      <c r="HO10" s="449"/>
      <c r="HP10" s="449"/>
      <c r="HQ10" s="449"/>
      <c r="HR10" s="449"/>
      <c r="HS10" s="449"/>
      <c r="HT10" s="449"/>
      <c r="HU10" s="449"/>
      <c r="HV10" s="449"/>
      <c r="HW10" s="449"/>
      <c r="HX10" s="449"/>
      <c r="HY10" s="449"/>
      <c r="HZ10" s="449"/>
      <c r="IA10" s="449"/>
      <c r="IB10" s="449"/>
      <c r="IC10" s="449"/>
      <c r="ID10" s="449"/>
      <c r="IE10" s="449"/>
      <c r="IF10" s="449"/>
      <c r="IG10" s="449"/>
      <c r="IH10" s="449"/>
      <c r="II10" s="449"/>
      <c r="IJ10" s="449"/>
      <c r="IK10" s="449"/>
      <c r="IL10" s="449"/>
      <c r="IM10" s="449"/>
      <c r="IN10" s="449"/>
      <c r="IO10" s="449"/>
      <c r="IP10" s="449"/>
      <c r="IQ10" s="449"/>
      <c r="IR10" s="449"/>
      <c r="IS10" s="449"/>
      <c r="IT10" s="449"/>
      <c r="IU10" s="449"/>
      <c r="IV10" s="449"/>
    </row>
    <row r="11" spans="1:256" ht="17.399999999999999">
      <c r="A11" s="465" t="s">
        <v>353</v>
      </c>
      <c r="B11" s="445"/>
      <c r="C11" s="445"/>
      <c r="D11" s="894" t="str">
        <f>'Sch 1 '!C11</f>
        <v>JANUARY 1, 2022</v>
      </c>
      <c r="E11" s="445"/>
      <c r="F11" s="681" t="s">
        <v>234</v>
      </c>
      <c r="G11" s="445"/>
      <c r="H11" s="681" t="s">
        <v>235</v>
      </c>
      <c r="I11" s="445"/>
      <c r="J11" s="681" t="s">
        <v>236</v>
      </c>
      <c r="K11" s="445"/>
      <c r="L11" s="894" t="str">
        <f>'Sch 1 '!K11</f>
        <v>JANUARY 31, 2022</v>
      </c>
      <c r="M11" s="447"/>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row>
    <row r="12" spans="1:256" ht="9.75" customHeight="1">
      <c r="A12" s="445" t="s">
        <v>14</v>
      </c>
      <c r="B12" s="445"/>
      <c r="C12" s="445"/>
      <c r="D12" s="682" t="s">
        <v>14</v>
      </c>
      <c r="E12" s="445"/>
      <c r="F12" s="682" t="s">
        <v>14</v>
      </c>
      <c r="G12" s="445"/>
      <c r="H12" s="682" t="s">
        <v>14</v>
      </c>
      <c r="I12" s="445"/>
      <c r="J12" s="682" t="s">
        <v>14</v>
      </c>
      <c r="K12" s="445" t="s">
        <v>14</v>
      </c>
      <c r="L12" s="682" t="s">
        <v>14</v>
      </c>
      <c r="M12" s="447"/>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c r="IR12" s="449"/>
      <c r="IS12" s="449"/>
      <c r="IT12" s="449"/>
      <c r="IU12" s="449"/>
      <c r="IV12" s="449"/>
    </row>
    <row r="13" spans="1:256" ht="18" customHeight="1">
      <c r="A13" s="452" t="s">
        <v>222</v>
      </c>
      <c r="B13" s="449"/>
      <c r="C13" s="449"/>
      <c r="D13" s="683"/>
      <c r="E13" s="683"/>
      <c r="F13" s="468"/>
      <c r="G13" s="439"/>
      <c r="H13" s="468"/>
      <c r="I13" s="683"/>
      <c r="J13" s="683"/>
      <c r="K13" s="683"/>
      <c r="L13" s="683"/>
      <c r="M13" s="453"/>
      <c r="N13" s="454"/>
      <c r="O13" s="455"/>
      <c r="P13" s="455"/>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449"/>
      <c r="EN13" s="449"/>
      <c r="EO13" s="449"/>
      <c r="EP13" s="449"/>
      <c r="EQ13" s="449"/>
      <c r="ER13" s="449"/>
      <c r="ES13" s="449"/>
      <c r="ET13" s="449"/>
      <c r="EU13" s="449"/>
      <c r="EV13" s="449"/>
      <c r="EW13" s="449"/>
      <c r="EX13" s="449"/>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c r="HK13" s="449"/>
      <c r="HL13" s="449"/>
      <c r="HM13" s="449"/>
      <c r="HN13" s="449"/>
      <c r="HO13" s="449"/>
      <c r="HP13" s="449"/>
      <c r="HQ13" s="449"/>
      <c r="HR13" s="449"/>
      <c r="HS13" s="449"/>
      <c r="HT13" s="449"/>
      <c r="HU13" s="449"/>
      <c r="HV13" s="449"/>
      <c r="HW13" s="449"/>
      <c r="HX13" s="449"/>
      <c r="HY13" s="449"/>
      <c r="HZ13" s="449"/>
      <c r="IA13" s="449"/>
      <c r="IB13" s="449"/>
      <c r="IC13" s="449"/>
      <c r="ID13" s="449"/>
      <c r="IE13" s="449"/>
      <c r="IF13" s="449"/>
      <c r="IG13" s="449"/>
      <c r="IH13" s="449"/>
      <c r="II13" s="449"/>
      <c r="IJ13" s="449"/>
      <c r="IK13" s="449"/>
      <c r="IL13" s="449"/>
      <c r="IM13" s="449"/>
      <c r="IN13" s="449"/>
      <c r="IO13" s="449"/>
      <c r="IP13" s="449"/>
      <c r="IQ13" s="449"/>
      <c r="IR13" s="449"/>
      <c r="IS13" s="449"/>
      <c r="IT13" s="449"/>
      <c r="IU13" s="449"/>
      <c r="IV13" s="449"/>
    </row>
    <row r="14" spans="1:256" ht="7.5" customHeight="1">
      <c r="A14" s="445"/>
      <c r="B14" s="449"/>
      <c r="C14" s="449"/>
      <c r="D14" s="683"/>
      <c r="E14" s="683"/>
      <c r="F14" s="683"/>
      <c r="G14" s="683"/>
      <c r="H14" s="683"/>
      <c r="I14" s="683"/>
      <c r="J14" s="683"/>
      <c r="K14" s="683"/>
      <c r="L14" s="683"/>
      <c r="M14" s="453"/>
      <c r="N14" s="454"/>
      <c r="O14" s="455"/>
      <c r="P14" s="455"/>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49"/>
      <c r="DS14" s="449"/>
      <c r="DT14" s="449"/>
      <c r="DU14" s="449"/>
      <c r="DV14" s="449"/>
      <c r="DW14" s="449"/>
      <c r="DX14" s="449"/>
      <c r="DY14" s="449"/>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c r="HK14" s="449"/>
      <c r="HL14" s="449"/>
      <c r="HM14" s="449"/>
      <c r="HN14" s="449"/>
      <c r="HO14" s="449"/>
      <c r="HP14" s="449"/>
      <c r="HQ14" s="449"/>
      <c r="HR14" s="449"/>
      <c r="HS14" s="449"/>
      <c r="HT14" s="449"/>
      <c r="HU14" s="449"/>
      <c r="HV14" s="449"/>
      <c r="HW14" s="449"/>
      <c r="HX14" s="449"/>
      <c r="HY14" s="449"/>
      <c r="HZ14" s="449"/>
      <c r="IA14" s="449"/>
      <c r="IB14" s="449"/>
      <c r="IC14" s="449"/>
      <c r="ID14" s="449"/>
      <c r="IE14" s="449"/>
      <c r="IF14" s="449"/>
      <c r="IG14" s="449"/>
      <c r="IH14" s="449"/>
      <c r="II14" s="449"/>
      <c r="IJ14" s="449"/>
      <c r="IK14" s="449"/>
      <c r="IL14" s="449"/>
      <c r="IM14" s="449"/>
      <c r="IN14" s="449"/>
      <c r="IO14" s="449"/>
      <c r="IP14" s="449"/>
      <c r="IQ14" s="449"/>
      <c r="IR14" s="449"/>
      <c r="IS14" s="449"/>
      <c r="IT14" s="449"/>
      <c r="IU14" s="449"/>
      <c r="IV14" s="449"/>
    </row>
    <row r="15" spans="1:256" ht="15.75" customHeight="1">
      <c r="A15" s="449" t="s">
        <v>918</v>
      </c>
      <c r="B15" s="449"/>
      <c r="C15" s="449"/>
      <c r="D15" s="3891">
        <v>1.244</v>
      </c>
      <c r="E15" s="1671"/>
      <c r="F15" s="1670">
        <v>10.634</v>
      </c>
      <c r="G15" s="1671"/>
      <c r="H15" s="1670">
        <v>14.238</v>
      </c>
      <c r="I15" s="1671"/>
      <c r="J15" s="1670">
        <v>0</v>
      </c>
      <c r="K15" s="2986"/>
      <c r="L15" s="1673">
        <f>ROUND(SUM(D15)+SUM(F15)-SUM(H15)+SUM(J15),3)</f>
        <v>-2.36</v>
      </c>
      <c r="M15" s="453"/>
      <c r="N15" s="454"/>
      <c r="O15" s="455"/>
      <c r="P15" s="455"/>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row>
    <row r="16" spans="1:256" ht="6.75" customHeight="1">
      <c r="A16" s="445"/>
      <c r="B16" s="449"/>
      <c r="C16" s="449"/>
      <c r="D16" s="3376" t="s">
        <v>14</v>
      </c>
      <c r="E16" s="684"/>
      <c r="F16" s="685" t="s">
        <v>14</v>
      </c>
      <c r="G16" s="684"/>
      <c r="H16" s="685" t="s">
        <v>14</v>
      </c>
      <c r="I16" s="684"/>
      <c r="J16" s="686" t="s">
        <v>14</v>
      </c>
      <c r="K16" s="684"/>
      <c r="L16" s="687" t="s">
        <v>14</v>
      </c>
      <c r="M16" s="456"/>
      <c r="N16" s="449"/>
      <c r="O16" s="455"/>
      <c r="P16" s="455"/>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row>
    <row r="17" spans="1:256" ht="17.25" customHeight="1">
      <c r="A17" s="445" t="s">
        <v>368</v>
      </c>
      <c r="B17" s="449"/>
      <c r="C17" s="449"/>
      <c r="D17" s="688">
        <f>ROUND(SUM(D15),3)</f>
        <v>1.244</v>
      </c>
      <c r="E17" s="689"/>
      <c r="F17" s="688">
        <f>ROUND(SUM(F15),3)</f>
        <v>10.634</v>
      </c>
      <c r="G17" s="689"/>
      <c r="H17" s="688">
        <f>ROUND(SUM(H15),3)</f>
        <v>14.238</v>
      </c>
      <c r="I17" s="689"/>
      <c r="J17" s="886">
        <f>ROUND(SUM(J15),3)</f>
        <v>0</v>
      </c>
      <c r="K17" s="689"/>
      <c r="L17" s="688">
        <f>ROUND(SUM(L15),3)</f>
        <v>-2.36</v>
      </c>
      <c r="M17" s="457"/>
      <c r="N17" s="449"/>
      <c r="O17" s="455"/>
      <c r="P17" s="455"/>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row>
    <row r="18" spans="1:256" ht="12" customHeight="1">
      <c r="A18" s="445"/>
      <c r="B18" s="449"/>
      <c r="C18" s="449"/>
      <c r="D18" s="690"/>
      <c r="E18" s="442"/>
      <c r="F18" s="690"/>
      <c r="G18" s="442"/>
      <c r="H18" s="690"/>
      <c r="I18" s="442"/>
      <c r="J18" s="443"/>
      <c r="K18" s="442"/>
      <c r="L18" s="690"/>
      <c r="M18" s="456"/>
      <c r="N18" s="449"/>
      <c r="O18" s="455"/>
      <c r="P18" s="455"/>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row>
    <row r="19" spans="1:256" ht="18" customHeight="1">
      <c r="A19" s="458" t="s">
        <v>226</v>
      </c>
      <c r="B19" s="445"/>
      <c r="C19" s="445"/>
      <c r="D19" s="691"/>
      <c r="E19" s="691"/>
      <c r="F19" s="691"/>
      <c r="G19" s="691"/>
      <c r="H19" s="691"/>
      <c r="I19" s="691"/>
      <c r="J19" s="691"/>
      <c r="K19" s="691"/>
      <c r="L19" s="691"/>
      <c r="M19" s="447"/>
      <c r="N19" s="449"/>
      <c r="O19" s="455"/>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49"/>
      <c r="DV19" s="449"/>
      <c r="DW19" s="449"/>
      <c r="DX19" s="449"/>
      <c r="DY19" s="449"/>
      <c r="DZ19" s="449"/>
      <c r="EA19" s="449"/>
      <c r="EB19" s="449"/>
      <c r="EC19" s="449"/>
      <c r="ED19" s="449"/>
      <c r="EE19" s="449"/>
      <c r="EF19" s="449"/>
      <c r="EG19" s="449"/>
      <c r="EH19" s="449"/>
      <c r="EI19" s="449"/>
      <c r="EJ19" s="449"/>
      <c r="EK19" s="449"/>
      <c r="EL19" s="449"/>
      <c r="EM19" s="449"/>
      <c r="EN19" s="449"/>
      <c r="EO19" s="449"/>
      <c r="EP19" s="449"/>
      <c r="EQ19" s="449"/>
      <c r="ER19" s="449"/>
      <c r="ES19" s="449"/>
      <c r="ET19" s="449"/>
      <c r="EU19" s="449"/>
      <c r="EV19" s="449"/>
      <c r="EW19" s="449"/>
      <c r="EX19" s="449"/>
      <c r="EY19" s="449"/>
      <c r="EZ19" s="449"/>
      <c r="FA19" s="449"/>
      <c r="FB19" s="449"/>
      <c r="FC19" s="449"/>
      <c r="FD19" s="449"/>
      <c r="FE19" s="449"/>
      <c r="FF19" s="449"/>
      <c r="FG19" s="449"/>
      <c r="FH19" s="449"/>
      <c r="FI19" s="449"/>
      <c r="FJ19" s="449"/>
      <c r="FK19" s="449"/>
      <c r="FL19" s="449"/>
      <c r="FM19" s="449"/>
      <c r="FN19" s="449"/>
      <c r="FO19" s="449"/>
      <c r="FP19" s="449"/>
      <c r="FQ19" s="449"/>
      <c r="FR19" s="449"/>
      <c r="FS19" s="449"/>
      <c r="FT19" s="449"/>
      <c r="FU19" s="449"/>
      <c r="FV19" s="449"/>
      <c r="FW19" s="449"/>
      <c r="FX19" s="449"/>
      <c r="FY19" s="449"/>
      <c r="FZ19" s="449"/>
      <c r="GA19" s="449"/>
      <c r="GB19" s="449"/>
      <c r="GC19" s="449"/>
      <c r="GD19" s="449"/>
      <c r="GE19" s="449"/>
      <c r="GF19" s="449"/>
      <c r="GG19" s="449"/>
      <c r="GH19" s="449"/>
      <c r="GI19" s="449"/>
      <c r="GJ19" s="449"/>
      <c r="GK19" s="449"/>
      <c r="GL19" s="449"/>
      <c r="GM19" s="449"/>
      <c r="GN19" s="449"/>
      <c r="GO19" s="449"/>
      <c r="GP19" s="449"/>
      <c r="GQ19" s="449"/>
      <c r="GR19" s="449"/>
      <c r="GS19" s="449"/>
      <c r="GT19" s="449"/>
      <c r="GU19" s="449"/>
      <c r="GV19" s="449"/>
      <c r="GW19" s="449"/>
      <c r="GX19" s="449"/>
      <c r="GY19" s="449"/>
      <c r="GZ19" s="449"/>
      <c r="HA19" s="449"/>
      <c r="HB19" s="449"/>
      <c r="HC19" s="449"/>
      <c r="HD19" s="449"/>
      <c r="HE19" s="449"/>
      <c r="HF19" s="449"/>
      <c r="HG19" s="449"/>
      <c r="HH19" s="449"/>
      <c r="HI19" s="449"/>
      <c r="HJ19" s="449"/>
      <c r="HK19" s="449"/>
      <c r="HL19" s="449"/>
      <c r="HM19" s="449"/>
      <c r="HN19" s="449"/>
      <c r="HO19" s="449"/>
      <c r="HP19" s="449"/>
      <c r="HQ19" s="449"/>
      <c r="HR19" s="449"/>
      <c r="HS19" s="449"/>
      <c r="HT19" s="449"/>
      <c r="HU19" s="449"/>
      <c r="HV19" s="449"/>
      <c r="HW19" s="449"/>
      <c r="HX19" s="449"/>
      <c r="HY19" s="449"/>
      <c r="HZ19" s="449"/>
      <c r="IA19" s="449"/>
      <c r="IB19" s="449"/>
      <c r="IC19" s="449"/>
      <c r="ID19" s="449"/>
      <c r="IE19" s="449"/>
      <c r="IF19" s="449"/>
      <c r="IG19" s="449"/>
      <c r="IH19" s="449"/>
      <c r="II19" s="449"/>
      <c r="IJ19" s="449"/>
      <c r="IK19" s="449"/>
      <c r="IL19" s="449"/>
      <c r="IM19" s="449"/>
      <c r="IN19" s="449"/>
      <c r="IO19" s="449"/>
      <c r="IP19" s="449"/>
      <c r="IQ19" s="449"/>
      <c r="IR19" s="449"/>
      <c r="IS19" s="449"/>
      <c r="IT19" s="449"/>
      <c r="IU19" s="449"/>
      <c r="IV19" s="449"/>
    </row>
    <row r="20" spans="1:256" ht="7.5" customHeight="1">
      <c r="A20" s="445"/>
      <c r="B20" s="445"/>
      <c r="C20" s="445"/>
      <c r="D20" s="691"/>
      <c r="E20" s="691"/>
      <c r="F20" s="691"/>
      <c r="G20" s="691"/>
      <c r="H20" s="691"/>
      <c r="I20" s="691"/>
      <c r="J20" s="691"/>
      <c r="K20" s="691"/>
      <c r="L20" s="442"/>
      <c r="M20" s="447"/>
      <c r="N20" s="449"/>
      <c r="O20" s="455"/>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c r="IU20" s="449"/>
      <c r="IV20" s="449"/>
    </row>
    <row r="21" spans="1:256" ht="17.850000000000001" customHeight="1">
      <c r="A21" s="692" t="s">
        <v>1459</v>
      </c>
      <c r="B21" s="445"/>
      <c r="C21" s="445"/>
      <c r="D21" s="1674">
        <v>29.992999999999999</v>
      </c>
      <c r="E21" s="1671"/>
      <c r="F21" s="1674">
        <v>2E-3</v>
      </c>
      <c r="G21" s="1671"/>
      <c r="H21" s="1674">
        <v>9.2999999999999999E-2</v>
      </c>
      <c r="I21" s="1671"/>
      <c r="J21" s="1674">
        <v>0</v>
      </c>
      <c r="K21" s="2986"/>
      <c r="L21" s="1675">
        <f>ROUND(SUM(D21)+SUM(F21)-SUM(H21)+SUM(J21),3)</f>
        <v>29.902000000000001</v>
      </c>
      <c r="M21" s="447"/>
      <c r="N21" s="449"/>
      <c r="O21" s="455"/>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49"/>
      <c r="DV21" s="449"/>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49"/>
      <c r="GD21" s="449"/>
      <c r="GE21" s="449"/>
      <c r="GF21" s="449"/>
      <c r="GG21" s="449"/>
      <c r="GH21" s="449"/>
      <c r="GI21" s="449"/>
      <c r="GJ21" s="449"/>
      <c r="GK21" s="449"/>
      <c r="GL21" s="449"/>
      <c r="GM21" s="449"/>
      <c r="GN21" s="449"/>
      <c r="GO21" s="449"/>
      <c r="GP21" s="449"/>
      <c r="GQ21" s="449"/>
      <c r="GR21" s="449"/>
      <c r="GS21" s="449"/>
      <c r="GT21" s="449"/>
      <c r="GU21" s="449"/>
      <c r="GV21" s="449"/>
      <c r="GW21" s="449"/>
      <c r="GX21" s="449"/>
      <c r="GY21" s="449"/>
      <c r="GZ21" s="449"/>
      <c r="HA21" s="449"/>
      <c r="HB21" s="449"/>
      <c r="HC21" s="449"/>
      <c r="HD21" s="449"/>
      <c r="HE21" s="449"/>
      <c r="HF21" s="449"/>
      <c r="HG21" s="449"/>
      <c r="HH21" s="449"/>
      <c r="HI21" s="449"/>
      <c r="HJ21" s="449"/>
      <c r="HK21" s="449"/>
      <c r="HL21" s="449"/>
      <c r="HM21" s="449"/>
      <c r="HN21" s="449"/>
      <c r="HO21" s="449"/>
      <c r="HP21" s="449"/>
      <c r="HQ21" s="449"/>
      <c r="HR21" s="449"/>
      <c r="HS21" s="449"/>
      <c r="HT21" s="449"/>
      <c r="HU21" s="449"/>
      <c r="HV21" s="449"/>
      <c r="HW21" s="449"/>
      <c r="HX21" s="449"/>
      <c r="HY21" s="449"/>
      <c r="HZ21" s="449"/>
      <c r="IA21" s="449"/>
      <c r="IB21" s="449"/>
      <c r="IC21" s="449"/>
      <c r="ID21" s="449"/>
      <c r="IE21" s="449"/>
      <c r="IF21" s="449"/>
      <c r="IG21" s="449"/>
      <c r="IH21" s="449"/>
      <c r="II21" s="449"/>
      <c r="IJ21" s="449"/>
      <c r="IK21" s="449"/>
      <c r="IL21" s="449"/>
      <c r="IM21" s="449"/>
      <c r="IN21" s="449"/>
      <c r="IO21" s="449"/>
      <c r="IP21" s="449"/>
      <c r="IQ21" s="449"/>
      <c r="IR21" s="449"/>
      <c r="IS21" s="449"/>
      <c r="IT21" s="449"/>
      <c r="IU21" s="449"/>
      <c r="IV21" s="449"/>
    </row>
    <row r="22" spans="1:256" ht="16.5" customHeight="1">
      <c r="A22" s="692" t="s">
        <v>369</v>
      </c>
      <c r="B22" s="445"/>
      <c r="C22" s="467"/>
      <c r="D22" s="1674">
        <v>3.1190000000000002</v>
      </c>
      <c r="E22" s="1671"/>
      <c r="F22" s="1674">
        <v>0</v>
      </c>
      <c r="G22" s="1671"/>
      <c r="H22" s="1674">
        <v>1.7999999999999999E-2</v>
      </c>
      <c r="I22" s="1671"/>
      <c r="J22" s="1674">
        <v>0</v>
      </c>
      <c r="K22" s="2986"/>
      <c r="L22" s="1675">
        <f>ROUND(SUM(D22)+SUM(F22)-SUM(H22)+SUM(J22),3)</f>
        <v>3.101</v>
      </c>
      <c r="M22" s="447"/>
      <c r="N22" s="449"/>
      <c r="O22" s="455"/>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49"/>
      <c r="DV22" s="449"/>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49"/>
      <c r="GD22" s="449"/>
      <c r="GE22" s="449"/>
      <c r="GF22" s="449"/>
      <c r="GG22" s="449"/>
      <c r="GH22" s="449"/>
      <c r="GI22" s="449"/>
      <c r="GJ22" s="449"/>
      <c r="GK22" s="449"/>
      <c r="GL22" s="449"/>
      <c r="GM22" s="449"/>
      <c r="GN22" s="449"/>
      <c r="GO22" s="449"/>
      <c r="GP22" s="449"/>
      <c r="GQ22" s="449"/>
      <c r="GR22" s="449"/>
      <c r="GS22" s="449"/>
      <c r="GT22" s="449"/>
      <c r="GU22" s="449"/>
      <c r="GV22" s="449"/>
      <c r="GW22" s="449"/>
      <c r="GX22" s="449"/>
      <c r="GY22" s="449"/>
      <c r="GZ22" s="449"/>
      <c r="HA22" s="449"/>
      <c r="HB22" s="449"/>
      <c r="HC22" s="449"/>
      <c r="HD22" s="449"/>
      <c r="HE22" s="449"/>
      <c r="HF22" s="449"/>
      <c r="HG22" s="449"/>
      <c r="HH22" s="449"/>
      <c r="HI22" s="449"/>
      <c r="HJ22" s="449"/>
      <c r="HK22" s="449"/>
      <c r="HL22" s="449"/>
      <c r="HM22" s="449"/>
      <c r="HN22" s="449"/>
      <c r="HO22" s="449"/>
      <c r="HP22" s="449"/>
      <c r="HQ22" s="449"/>
      <c r="HR22" s="449"/>
      <c r="HS22" s="449"/>
      <c r="HT22" s="449"/>
      <c r="HU22" s="449"/>
      <c r="HV22" s="449"/>
      <c r="HW22" s="449"/>
      <c r="HX22" s="449"/>
      <c r="HY22" s="449"/>
      <c r="HZ22" s="449"/>
      <c r="IA22" s="449"/>
      <c r="IB22" s="449"/>
      <c r="IC22" s="449"/>
      <c r="ID22" s="449"/>
      <c r="IE22" s="449"/>
      <c r="IF22" s="449"/>
      <c r="IG22" s="449"/>
      <c r="IH22" s="449"/>
      <c r="II22" s="449"/>
      <c r="IJ22" s="449"/>
      <c r="IK22" s="449"/>
      <c r="IL22" s="449"/>
      <c r="IM22" s="449"/>
      <c r="IN22" s="449"/>
      <c r="IO22" s="449"/>
      <c r="IP22" s="449"/>
      <c r="IQ22" s="449"/>
      <c r="IR22" s="449"/>
      <c r="IS22" s="449"/>
      <c r="IT22" s="449"/>
      <c r="IU22" s="449"/>
      <c r="IV22" s="449"/>
    </row>
    <row r="23" spans="1:256" ht="15.75" customHeight="1">
      <c r="A23" s="692" t="s">
        <v>370</v>
      </c>
      <c r="B23" s="445"/>
      <c r="C23" s="445"/>
      <c r="D23" s="1676">
        <v>11.715</v>
      </c>
      <c r="E23" s="1671"/>
      <c r="F23" s="1676">
        <v>9.5000000000000001E-2</v>
      </c>
      <c r="G23" s="1671"/>
      <c r="H23" s="1676">
        <v>1.0999999999999999E-2</v>
      </c>
      <c r="I23" s="1671"/>
      <c r="J23" s="1676">
        <v>0</v>
      </c>
      <c r="K23" s="2986"/>
      <c r="L23" s="1677">
        <f>ROUND(SUM(D23)+SUM(F23)-SUM(H23)+SUM(J23),3)</f>
        <v>11.798999999999999</v>
      </c>
      <c r="M23" s="447"/>
      <c r="N23" s="449"/>
      <c r="O23" s="455"/>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49"/>
      <c r="GD23" s="449"/>
      <c r="GE23" s="449"/>
      <c r="GF23" s="449"/>
      <c r="GG23" s="449"/>
      <c r="GH23" s="449"/>
      <c r="GI23" s="449"/>
      <c r="GJ23" s="449"/>
      <c r="GK23" s="449"/>
      <c r="GL23" s="449"/>
      <c r="GM23" s="449"/>
      <c r="GN23" s="449"/>
      <c r="GO23" s="449"/>
      <c r="GP23" s="449"/>
      <c r="GQ23" s="449"/>
      <c r="GR23" s="449"/>
      <c r="GS23" s="449"/>
      <c r="GT23" s="449"/>
      <c r="GU23" s="449"/>
      <c r="GV23" s="449"/>
      <c r="GW23" s="449"/>
      <c r="GX23" s="449"/>
      <c r="GY23" s="449"/>
      <c r="GZ23" s="449"/>
      <c r="HA23" s="449"/>
      <c r="HB23" s="449"/>
      <c r="HC23" s="449"/>
      <c r="HD23" s="449"/>
      <c r="HE23" s="449"/>
      <c r="HF23" s="449"/>
      <c r="HG23" s="449"/>
      <c r="HH23" s="449"/>
      <c r="HI23" s="449"/>
      <c r="HJ23" s="449"/>
      <c r="HK23" s="449"/>
      <c r="HL23" s="449"/>
      <c r="HM23" s="449"/>
      <c r="HN23" s="449"/>
      <c r="HO23" s="449"/>
      <c r="HP23" s="449"/>
      <c r="HQ23" s="449"/>
      <c r="HR23" s="449"/>
      <c r="HS23" s="449"/>
      <c r="HT23" s="449"/>
      <c r="HU23" s="449"/>
      <c r="HV23" s="449"/>
      <c r="HW23" s="449"/>
      <c r="HX23" s="449"/>
      <c r="HY23" s="449"/>
      <c r="HZ23" s="449"/>
      <c r="IA23" s="449"/>
      <c r="IB23" s="449"/>
      <c r="IC23" s="449"/>
      <c r="ID23" s="449"/>
      <c r="IE23" s="449"/>
      <c r="IF23" s="449"/>
      <c r="IG23" s="449"/>
      <c r="IH23" s="449"/>
      <c r="II23" s="449"/>
      <c r="IJ23" s="449"/>
      <c r="IK23" s="449"/>
      <c r="IL23" s="449"/>
      <c r="IM23" s="449"/>
      <c r="IN23" s="449"/>
      <c r="IO23" s="449"/>
      <c r="IP23" s="449"/>
      <c r="IQ23" s="449"/>
      <c r="IR23" s="449"/>
      <c r="IS23" s="449"/>
      <c r="IT23" s="449"/>
      <c r="IU23" s="449"/>
      <c r="IV23" s="449"/>
    </row>
    <row r="24" spans="1:256" ht="6.75" customHeight="1">
      <c r="A24" s="692"/>
      <c r="B24" s="445"/>
      <c r="C24" s="445"/>
      <c r="D24" s="443"/>
      <c r="E24" s="442"/>
      <c r="F24" s="443" t="s">
        <v>14</v>
      </c>
      <c r="G24" s="442"/>
      <c r="H24" s="693"/>
      <c r="I24" s="442"/>
      <c r="J24" s="694"/>
      <c r="K24" s="442"/>
      <c r="L24" s="443"/>
      <c r="M24" s="447"/>
      <c r="N24" s="449"/>
      <c r="O24" s="455"/>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49"/>
      <c r="GD24" s="449"/>
      <c r="GE24" s="449"/>
      <c r="GF24" s="449"/>
      <c r="GG24" s="449"/>
      <c r="GH24" s="449"/>
      <c r="GI24" s="449"/>
      <c r="GJ24" s="449"/>
      <c r="GK24" s="449"/>
      <c r="GL24" s="449"/>
      <c r="GM24" s="449"/>
      <c r="GN24" s="449"/>
      <c r="GO24" s="449"/>
      <c r="GP24" s="449"/>
      <c r="GQ24" s="449"/>
      <c r="GR24" s="449"/>
      <c r="GS24" s="449"/>
      <c r="GT24" s="449"/>
      <c r="GU24" s="449"/>
      <c r="GV24" s="449"/>
      <c r="GW24" s="449"/>
      <c r="GX24" s="449"/>
      <c r="GY24" s="449"/>
      <c r="GZ24" s="449"/>
      <c r="HA24" s="449"/>
      <c r="HB24" s="449"/>
      <c r="HC24" s="449"/>
      <c r="HD24" s="449"/>
      <c r="HE24" s="449"/>
      <c r="HF24" s="449"/>
      <c r="HG24" s="449"/>
      <c r="HH24" s="449"/>
      <c r="HI24" s="449"/>
      <c r="HJ24" s="449"/>
      <c r="HK24" s="449"/>
      <c r="HL24" s="449"/>
      <c r="HM24" s="449"/>
      <c r="HN24" s="449"/>
      <c r="HO24" s="449"/>
      <c r="HP24" s="449"/>
      <c r="HQ24" s="449"/>
      <c r="HR24" s="449"/>
      <c r="HS24" s="449"/>
      <c r="HT24" s="449"/>
      <c r="HU24" s="449"/>
      <c r="HV24" s="449"/>
      <c r="HW24" s="449"/>
      <c r="HX24" s="449"/>
      <c r="HY24" s="449"/>
      <c r="HZ24" s="449"/>
      <c r="IA24" s="449"/>
      <c r="IB24" s="449"/>
      <c r="IC24" s="449"/>
      <c r="ID24" s="449"/>
      <c r="IE24" s="449"/>
      <c r="IF24" s="449"/>
      <c r="IG24" s="449"/>
      <c r="IH24" s="449"/>
      <c r="II24" s="449"/>
      <c r="IJ24" s="449"/>
      <c r="IK24" s="449"/>
      <c r="IL24" s="449"/>
      <c r="IM24" s="449"/>
      <c r="IN24" s="449"/>
      <c r="IO24" s="449"/>
      <c r="IP24" s="449"/>
      <c r="IQ24" s="449"/>
      <c r="IR24" s="449"/>
      <c r="IS24" s="449"/>
      <c r="IT24" s="449"/>
      <c r="IU24" s="449"/>
      <c r="IV24" s="449"/>
    </row>
    <row r="25" spans="1:256" ht="17.25" customHeight="1">
      <c r="A25" s="451" t="s">
        <v>1110</v>
      </c>
      <c r="B25" s="445"/>
      <c r="C25" s="467"/>
      <c r="D25" s="695">
        <f>ROUND(SUM(D21:D23),3)</f>
        <v>44.826999999999998</v>
      </c>
      <c r="E25" s="691"/>
      <c r="F25" s="695">
        <f>ROUND(SUM(F21:F23),3)</f>
        <v>9.7000000000000003E-2</v>
      </c>
      <c r="G25" s="691"/>
      <c r="H25" s="695">
        <f>ROUND(SUM(H21:H23),3)</f>
        <v>0.122</v>
      </c>
      <c r="I25" s="691"/>
      <c r="J25" s="695">
        <f>ROUND(SUM(J21:J23),3)</f>
        <v>0</v>
      </c>
      <c r="K25" s="691"/>
      <c r="L25" s="695">
        <f>ROUND(SUM(L21:L23),3)</f>
        <v>44.802</v>
      </c>
      <c r="M25" s="459"/>
      <c r="N25" s="460"/>
      <c r="O25" s="455"/>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49"/>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49"/>
      <c r="GD25" s="449"/>
      <c r="GE25" s="449"/>
      <c r="GF25" s="449"/>
      <c r="GG25" s="449"/>
      <c r="GH25" s="449"/>
      <c r="GI25" s="449"/>
      <c r="GJ25" s="449"/>
      <c r="GK25" s="449"/>
      <c r="GL25" s="449"/>
      <c r="GM25" s="449"/>
      <c r="GN25" s="449"/>
      <c r="GO25" s="449"/>
      <c r="GP25" s="449"/>
      <c r="GQ25" s="449"/>
      <c r="GR25" s="449"/>
      <c r="GS25" s="449"/>
      <c r="GT25" s="449"/>
      <c r="GU25" s="449"/>
      <c r="GV25" s="449"/>
      <c r="GW25" s="449"/>
      <c r="GX25" s="449"/>
      <c r="GY25" s="449"/>
      <c r="GZ25" s="449"/>
      <c r="HA25" s="449"/>
      <c r="HB25" s="449"/>
      <c r="HC25" s="449"/>
      <c r="HD25" s="449"/>
      <c r="HE25" s="449"/>
      <c r="HF25" s="449"/>
      <c r="HG25" s="449"/>
      <c r="HH25" s="449"/>
      <c r="HI25" s="449"/>
      <c r="HJ25" s="449"/>
      <c r="HK25" s="449"/>
      <c r="HL25" s="449"/>
      <c r="HM25" s="449"/>
      <c r="HN25" s="449"/>
      <c r="HO25" s="449"/>
      <c r="HP25" s="449"/>
      <c r="HQ25" s="449"/>
      <c r="HR25" s="449"/>
      <c r="HS25" s="449"/>
      <c r="HT25" s="449"/>
      <c r="HU25" s="449"/>
      <c r="HV25" s="449"/>
      <c r="HW25" s="449"/>
      <c r="HX25" s="449"/>
      <c r="HY25" s="449"/>
      <c r="HZ25" s="449"/>
      <c r="IA25" s="449"/>
      <c r="IB25" s="449"/>
      <c r="IC25" s="449"/>
      <c r="ID25" s="449"/>
      <c r="IE25" s="449"/>
      <c r="IF25" s="449"/>
      <c r="IG25" s="449"/>
      <c r="IH25" s="449"/>
      <c r="II25" s="449"/>
      <c r="IJ25" s="449"/>
      <c r="IK25" s="449"/>
      <c r="IL25" s="449"/>
      <c r="IM25" s="449"/>
      <c r="IN25" s="449"/>
      <c r="IO25" s="449"/>
      <c r="IP25" s="449"/>
      <c r="IQ25" s="449"/>
      <c r="IR25" s="449"/>
      <c r="IS25" s="449"/>
      <c r="IT25" s="449"/>
      <c r="IU25" s="449"/>
      <c r="IV25" s="449"/>
    </row>
    <row r="26" spans="1:256" ht="12" customHeight="1">
      <c r="A26" s="445"/>
      <c r="B26" s="445"/>
      <c r="C26" s="445"/>
      <c r="D26" s="691"/>
      <c r="E26" s="689"/>
      <c r="F26" s="691"/>
      <c r="G26" s="689"/>
      <c r="H26" s="691"/>
      <c r="I26" s="689"/>
      <c r="J26" s="691"/>
      <c r="K26" s="689"/>
      <c r="L26" s="691"/>
      <c r="M26" s="447"/>
      <c r="N26" s="449"/>
      <c r="O26" s="455"/>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49"/>
      <c r="DV26" s="449"/>
      <c r="DW26" s="449"/>
      <c r="DX26" s="449"/>
      <c r="DY26" s="449"/>
      <c r="DZ26" s="449"/>
      <c r="EA26" s="449"/>
      <c r="EB26" s="449"/>
      <c r="EC26" s="449"/>
      <c r="ED26" s="449"/>
      <c r="EE26" s="449"/>
      <c r="EF26" s="449"/>
      <c r="EG26" s="449"/>
      <c r="EH26" s="449"/>
      <c r="EI26" s="449"/>
      <c r="EJ26" s="449"/>
      <c r="EK26" s="449"/>
      <c r="EL26" s="449"/>
      <c r="EM26" s="449"/>
      <c r="EN26" s="449"/>
      <c r="EO26" s="449"/>
      <c r="EP26" s="449"/>
      <c r="EQ26" s="449"/>
      <c r="ER26" s="449"/>
      <c r="ES26" s="449"/>
      <c r="ET26" s="449"/>
      <c r="EU26" s="449"/>
      <c r="EV26" s="449"/>
      <c r="EW26" s="449"/>
      <c r="EX26" s="449"/>
      <c r="EY26" s="449"/>
      <c r="EZ26" s="449"/>
      <c r="FA26" s="449"/>
      <c r="FB26" s="449"/>
      <c r="FC26" s="449"/>
      <c r="FD26" s="449"/>
      <c r="FE26" s="449"/>
      <c r="FF26" s="449"/>
      <c r="FG26" s="449"/>
      <c r="FH26" s="449"/>
      <c r="FI26" s="449"/>
      <c r="FJ26" s="449"/>
      <c r="FK26" s="449"/>
      <c r="FL26" s="449"/>
      <c r="FM26" s="449"/>
      <c r="FN26" s="449"/>
      <c r="FO26" s="449"/>
      <c r="FP26" s="449"/>
      <c r="FQ26" s="449"/>
      <c r="FR26" s="449"/>
      <c r="FS26" s="449"/>
      <c r="FT26" s="449"/>
      <c r="FU26" s="449"/>
      <c r="FV26" s="449"/>
      <c r="FW26" s="449"/>
      <c r="FX26" s="449"/>
      <c r="FY26" s="449"/>
      <c r="FZ26" s="449"/>
      <c r="GA26" s="449"/>
      <c r="GB26" s="449"/>
      <c r="GC26" s="449"/>
      <c r="GD26" s="449"/>
      <c r="GE26" s="449"/>
      <c r="GF26" s="449"/>
      <c r="GG26" s="449"/>
      <c r="GH26" s="449"/>
      <c r="GI26" s="449"/>
      <c r="GJ26" s="449"/>
      <c r="GK26" s="449"/>
      <c r="GL26" s="449"/>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49"/>
      <c r="HO26" s="449"/>
      <c r="HP26" s="449"/>
      <c r="HQ26" s="449"/>
      <c r="HR26" s="449"/>
      <c r="HS26" s="449"/>
      <c r="HT26" s="449"/>
      <c r="HU26" s="449"/>
      <c r="HV26" s="449"/>
      <c r="HW26" s="449"/>
      <c r="HX26" s="449"/>
      <c r="HY26" s="449"/>
      <c r="HZ26" s="449"/>
      <c r="IA26" s="449"/>
      <c r="IB26" s="449"/>
      <c r="IC26" s="449"/>
      <c r="ID26" s="449"/>
      <c r="IE26" s="449"/>
      <c r="IF26" s="449"/>
      <c r="IG26" s="449"/>
      <c r="IH26" s="449"/>
      <c r="II26" s="449"/>
      <c r="IJ26" s="449"/>
      <c r="IK26" s="449"/>
      <c r="IL26" s="449"/>
      <c r="IM26" s="449"/>
      <c r="IN26" s="449"/>
      <c r="IO26" s="449"/>
      <c r="IP26" s="449"/>
      <c r="IQ26" s="449"/>
      <c r="IR26" s="449"/>
      <c r="IS26" s="449"/>
      <c r="IT26" s="449"/>
      <c r="IU26" s="449"/>
      <c r="IV26" s="449"/>
    </row>
    <row r="27" spans="1:256" ht="17.399999999999999">
      <c r="A27" s="452" t="s">
        <v>371</v>
      </c>
      <c r="B27" s="445"/>
      <c r="C27" s="445"/>
      <c r="D27" s="689"/>
      <c r="E27" s="689"/>
      <c r="F27" s="689"/>
      <c r="G27" s="689"/>
      <c r="H27" s="689"/>
      <c r="I27" s="689"/>
      <c r="J27" s="689"/>
      <c r="K27" s="689"/>
      <c r="L27" s="689"/>
      <c r="M27" s="447"/>
      <c r="N27" s="449"/>
      <c r="O27" s="455"/>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Q27" s="449"/>
      <c r="CR27" s="449"/>
      <c r="CS27" s="449"/>
      <c r="CT27" s="449"/>
      <c r="CU27" s="449"/>
      <c r="CV27" s="449"/>
      <c r="CW27" s="449"/>
      <c r="CX27" s="449"/>
      <c r="CY27" s="449"/>
      <c r="CZ27" s="449"/>
      <c r="DA27" s="449"/>
      <c r="DB27" s="449"/>
      <c r="DC27" s="449"/>
      <c r="DD27" s="449"/>
      <c r="DE27" s="449"/>
      <c r="DF27" s="449"/>
      <c r="DG27" s="449"/>
      <c r="DH27" s="449"/>
      <c r="DI27" s="449"/>
      <c r="DJ27" s="449"/>
      <c r="DK27" s="449"/>
      <c r="DL27" s="449"/>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49"/>
      <c r="FS27" s="449"/>
      <c r="FT27" s="449"/>
      <c r="FU27" s="449"/>
      <c r="FV27" s="449"/>
      <c r="FW27" s="449"/>
      <c r="FX27" s="449"/>
      <c r="FY27" s="449"/>
      <c r="FZ27" s="449"/>
      <c r="GA27" s="449"/>
      <c r="GB27" s="449"/>
      <c r="GC27" s="449"/>
      <c r="GD27" s="449"/>
      <c r="GE27" s="449"/>
      <c r="GF27" s="449"/>
      <c r="GG27" s="449"/>
      <c r="GH27" s="449"/>
      <c r="GI27" s="449"/>
      <c r="GJ27" s="449"/>
      <c r="GK27" s="449"/>
      <c r="GL27" s="449"/>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49"/>
      <c r="HO27" s="449"/>
      <c r="HP27" s="449"/>
      <c r="HQ27" s="449"/>
      <c r="HR27" s="449"/>
      <c r="HS27" s="449"/>
      <c r="HT27" s="449"/>
      <c r="HU27" s="449"/>
      <c r="HV27" s="449"/>
      <c r="HW27" s="449"/>
      <c r="HX27" s="449"/>
      <c r="HY27" s="449"/>
      <c r="HZ27" s="449"/>
      <c r="IA27" s="449"/>
      <c r="IB27" s="449"/>
      <c r="IC27" s="449"/>
      <c r="ID27" s="449"/>
      <c r="IE27" s="449"/>
      <c r="IF27" s="449"/>
      <c r="IG27" s="449"/>
      <c r="IH27" s="449"/>
      <c r="II27" s="449"/>
      <c r="IJ27" s="449"/>
      <c r="IK27" s="449"/>
      <c r="IL27" s="449"/>
      <c r="IM27" s="449"/>
      <c r="IN27" s="449"/>
      <c r="IO27" s="449"/>
      <c r="IP27" s="449"/>
      <c r="IQ27" s="449"/>
      <c r="IR27" s="449"/>
      <c r="IS27" s="449"/>
      <c r="IT27" s="449"/>
      <c r="IU27" s="449"/>
      <c r="IV27" s="449"/>
    </row>
    <row r="28" spans="1:256" ht="7.5" customHeight="1">
      <c r="A28" s="449" t="s">
        <v>14</v>
      </c>
      <c r="B28" s="449"/>
      <c r="C28" s="449"/>
      <c r="D28" s="442"/>
      <c r="E28" s="442"/>
      <c r="F28" s="442"/>
      <c r="G28" s="442"/>
      <c r="H28" s="442"/>
      <c r="I28" s="442"/>
      <c r="J28" s="442"/>
      <c r="K28" s="442"/>
      <c r="L28" s="442"/>
      <c r="M28" s="447"/>
      <c r="N28" s="449"/>
      <c r="O28" s="455"/>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49"/>
      <c r="FI28" s="449"/>
      <c r="FJ28" s="449"/>
      <c r="FK28" s="449"/>
      <c r="FL28" s="449"/>
      <c r="FM28" s="449"/>
      <c r="FN28" s="449"/>
      <c r="FO28" s="449"/>
      <c r="FP28" s="449"/>
      <c r="FQ28" s="449"/>
      <c r="FR28" s="449"/>
      <c r="FS28" s="449"/>
      <c r="FT28" s="449"/>
      <c r="FU28" s="449"/>
      <c r="FV28" s="449"/>
      <c r="FW28" s="449"/>
      <c r="FX28" s="449"/>
      <c r="FY28" s="449"/>
      <c r="FZ28" s="449"/>
      <c r="GA28" s="449"/>
      <c r="GB28" s="449"/>
      <c r="GC28" s="449"/>
      <c r="GD28" s="449"/>
      <c r="GE28" s="449"/>
      <c r="GF28" s="449"/>
      <c r="GG28" s="449"/>
      <c r="GH28" s="449"/>
      <c r="GI28" s="449"/>
      <c r="GJ28" s="449"/>
      <c r="GK28" s="449"/>
      <c r="GL28" s="449"/>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49"/>
      <c r="HO28" s="449"/>
      <c r="HP28" s="449"/>
      <c r="HQ28" s="449"/>
      <c r="HR28" s="449"/>
      <c r="HS28" s="449"/>
      <c r="HT28" s="449"/>
      <c r="HU28" s="449"/>
      <c r="HV28" s="449"/>
      <c r="HW28" s="449"/>
      <c r="HX28" s="449"/>
      <c r="HY28" s="449"/>
      <c r="HZ28" s="449"/>
      <c r="IA28" s="449"/>
      <c r="IB28" s="449"/>
      <c r="IC28" s="449"/>
      <c r="ID28" s="449"/>
      <c r="IE28" s="449"/>
      <c r="IF28" s="449"/>
      <c r="IG28" s="449"/>
      <c r="IH28" s="449"/>
      <c r="II28" s="449"/>
      <c r="IJ28" s="449"/>
      <c r="IK28" s="449"/>
      <c r="IL28" s="449"/>
      <c r="IM28" s="449"/>
      <c r="IN28" s="449"/>
      <c r="IO28" s="449"/>
      <c r="IP28" s="449"/>
      <c r="IQ28" s="449"/>
      <c r="IR28" s="449"/>
      <c r="IS28" s="449"/>
      <c r="IT28" s="449"/>
      <c r="IU28" s="449"/>
      <c r="IV28" s="449"/>
    </row>
    <row r="29" spans="1:256" ht="16.5" customHeight="1">
      <c r="A29" s="449" t="s">
        <v>909</v>
      </c>
      <c r="B29" s="449"/>
      <c r="C29" s="449" t="s">
        <v>14</v>
      </c>
      <c r="D29" s="1674">
        <v>5.6950000000000003</v>
      </c>
      <c r="E29" s="1671"/>
      <c r="F29" s="1674">
        <v>7.0000000000000007E-2</v>
      </c>
      <c r="G29" s="1671"/>
      <c r="H29" s="1674">
        <v>0</v>
      </c>
      <c r="I29" s="1671"/>
      <c r="J29" s="1674">
        <v>0</v>
      </c>
      <c r="K29" s="1672"/>
      <c r="L29" s="1675">
        <f t="shared" ref="L29:L44" si="0">ROUND(SUM(D29)+SUM(F29)-SUM(H29)+SUM(J29),3)</f>
        <v>5.7649999999999997</v>
      </c>
      <c r="M29" s="456"/>
      <c r="N29" s="449"/>
      <c r="O29" s="455"/>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c r="FJ29" s="449"/>
      <c r="FK29" s="449"/>
      <c r="FL29" s="449"/>
      <c r="FM29" s="449"/>
      <c r="FN29" s="449"/>
      <c r="FO29" s="449"/>
      <c r="FP29" s="449"/>
      <c r="FQ29" s="449"/>
      <c r="FR29" s="449"/>
      <c r="FS29" s="449"/>
      <c r="FT29" s="449"/>
      <c r="FU29" s="449"/>
      <c r="FV29" s="449"/>
      <c r="FW29" s="449"/>
      <c r="FX29" s="449"/>
      <c r="FY29" s="449"/>
      <c r="FZ29" s="449"/>
      <c r="GA29" s="449"/>
      <c r="GB29" s="449"/>
      <c r="GC29" s="449"/>
      <c r="GD29" s="449"/>
      <c r="GE29" s="449"/>
      <c r="GF29" s="449"/>
      <c r="GG29" s="449"/>
      <c r="GH29" s="449"/>
      <c r="GI29" s="449"/>
      <c r="GJ29" s="449"/>
      <c r="GK29" s="449"/>
      <c r="GL29" s="449"/>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49"/>
      <c r="HO29" s="449"/>
      <c r="HP29" s="449"/>
      <c r="HQ29" s="449"/>
      <c r="HR29" s="449"/>
      <c r="HS29" s="449"/>
      <c r="HT29" s="449"/>
      <c r="HU29" s="449"/>
      <c r="HV29" s="449"/>
      <c r="HW29" s="449"/>
      <c r="HX29" s="449"/>
      <c r="HY29" s="449"/>
      <c r="HZ29" s="449"/>
      <c r="IA29" s="449"/>
      <c r="IB29" s="449"/>
      <c r="IC29" s="449"/>
      <c r="ID29" s="449"/>
      <c r="IE29" s="449"/>
      <c r="IF29" s="449"/>
      <c r="IG29" s="449"/>
      <c r="IH29" s="449"/>
      <c r="II29" s="449"/>
      <c r="IJ29" s="449"/>
      <c r="IK29" s="449"/>
      <c r="IL29" s="449"/>
      <c r="IM29" s="449"/>
      <c r="IN29" s="449"/>
      <c r="IO29" s="449"/>
      <c r="IP29" s="449"/>
      <c r="IQ29" s="449"/>
      <c r="IR29" s="449"/>
      <c r="IS29" s="449"/>
      <c r="IT29" s="449"/>
      <c r="IU29" s="449"/>
      <c r="IV29" s="449"/>
    </row>
    <row r="30" spans="1:256" ht="15.75" customHeight="1">
      <c r="A30" s="692" t="s">
        <v>372</v>
      </c>
      <c r="B30" s="449"/>
      <c r="C30" s="449"/>
      <c r="D30" s="1674">
        <v>0.57199999999999995</v>
      </c>
      <c r="E30" s="1671"/>
      <c r="F30" s="1674">
        <v>1E-3</v>
      </c>
      <c r="G30" s="1671"/>
      <c r="H30" s="1674">
        <v>0</v>
      </c>
      <c r="I30" s="1671"/>
      <c r="J30" s="1674">
        <v>0</v>
      </c>
      <c r="K30" s="1672"/>
      <c r="L30" s="1675">
        <f t="shared" si="0"/>
        <v>0.57299999999999995</v>
      </c>
      <c r="M30" s="456"/>
      <c r="N30" s="449"/>
      <c r="O30" s="455"/>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row>
    <row r="31" spans="1:256" ht="16.5" customHeight="1">
      <c r="A31" s="449" t="s">
        <v>373</v>
      </c>
      <c r="B31" s="449"/>
      <c r="C31" s="449"/>
      <c r="D31" s="1674">
        <v>1019.562</v>
      </c>
      <c r="E31" s="1671"/>
      <c r="F31" s="1674">
        <v>912.28700000000003</v>
      </c>
      <c r="G31" s="1671"/>
      <c r="H31" s="1674">
        <v>874.22400000000005</v>
      </c>
      <c r="I31" s="1671"/>
      <c r="J31" s="1674">
        <v>0</v>
      </c>
      <c r="K31" s="1672"/>
      <c r="L31" s="1675">
        <f t="shared" si="0"/>
        <v>1057.625</v>
      </c>
      <c r="M31" s="456"/>
      <c r="N31" s="449"/>
      <c r="O31" s="455"/>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49"/>
      <c r="EY31" s="449"/>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49"/>
      <c r="GI31" s="449"/>
      <c r="GJ31" s="449"/>
      <c r="GK31" s="449"/>
      <c r="GL31" s="449"/>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49"/>
      <c r="IR31" s="449"/>
      <c r="IS31" s="449"/>
      <c r="IT31" s="449"/>
      <c r="IU31" s="449"/>
      <c r="IV31" s="449"/>
    </row>
    <row r="32" spans="1:256" ht="16.5" customHeight="1">
      <c r="A32" s="449" t="s">
        <v>374</v>
      </c>
      <c r="B32" s="449"/>
      <c r="C32" s="449" t="s">
        <v>14</v>
      </c>
      <c r="D32" s="1674">
        <v>15.119</v>
      </c>
      <c r="E32" s="1671"/>
      <c r="F32" s="1674">
        <v>100.482</v>
      </c>
      <c r="G32" s="1671"/>
      <c r="H32" s="1674">
        <v>100.188</v>
      </c>
      <c r="I32" s="1671"/>
      <c r="J32" s="1674">
        <v>0</v>
      </c>
      <c r="K32" s="1672"/>
      <c r="L32" s="1675">
        <f>ROUND(SUM(D32)+SUM(F32)-SUM(H32)+SUM(J32),3)</f>
        <v>15.413</v>
      </c>
      <c r="M32" s="456"/>
      <c r="N32" s="449"/>
      <c r="O32" s="455"/>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49"/>
      <c r="DV32" s="449"/>
      <c r="DW32" s="449"/>
      <c r="DX32" s="449"/>
      <c r="DY32" s="449"/>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49"/>
      <c r="GD32" s="449"/>
      <c r="GE32" s="449"/>
      <c r="GF32" s="449"/>
      <c r="GG32" s="449"/>
      <c r="GH32" s="449"/>
      <c r="GI32" s="449"/>
      <c r="GJ32" s="449"/>
      <c r="GK32" s="449"/>
      <c r="GL32" s="449"/>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49"/>
      <c r="HO32" s="449"/>
      <c r="HP32" s="449"/>
      <c r="HQ32" s="449"/>
      <c r="HR32" s="449"/>
      <c r="HS32" s="449"/>
      <c r="HT32" s="449"/>
      <c r="HU32" s="449"/>
      <c r="HV32" s="449"/>
      <c r="HW32" s="449"/>
      <c r="HX32" s="449"/>
      <c r="HY32" s="449"/>
      <c r="HZ32" s="449"/>
      <c r="IA32" s="449"/>
      <c r="IB32" s="449"/>
      <c r="IC32" s="449"/>
      <c r="ID32" s="449"/>
      <c r="IE32" s="449"/>
      <c r="IF32" s="449"/>
      <c r="IG32" s="449"/>
      <c r="IH32" s="449"/>
      <c r="II32" s="449"/>
      <c r="IJ32" s="449"/>
      <c r="IK32" s="449"/>
      <c r="IL32" s="449"/>
      <c r="IM32" s="449"/>
      <c r="IN32" s="449"/>
      <c r="IO32" s="449"/>
      <c r="IP32" s="449"/>
      <c r="IQ32" s="449"/>
      <c r="IR32" s="449"/>
      <c r="IS32" s="449"/>
      <c r="IT32" s="449"/>
      <c r="IU32" s="449"/>
      <c r="IV32" s="449"/>
    </row>
    <row r="33" spans="1:256" ht="16.5" customHeight="1">
      <c r="A33" s="449" t="s">
        <v>921</v>
      </c>
      <c r="B33" s="449"/>
      <c r="C33" s="449"/>
      <c r="D33" s="1674">
        <v>40.795999999999999</v>
      </c>
      <c r="E33" s="1671"/>
      <c r="F33" s="1674">
        <v>372.60399999999998</v>
      </c>
      <c r="G33" s="1671"/>
      <c r="H33" s="1674">
        <v>416.15300000000002</v>
      </c>
      <c r="I33" s="1671"/>
      <c r="J33" s="1674">
        <v>0</v>
      </c>
      <c r="K33" s="1672"/>
      <c r="L33" s="1675">
        <f t="shared" si="0"/>
        <v>-2.7530000000000001</v>
      </c>
      <c r="M33" s="456"/>
      <c r="N33" s="394"/>
      <c r="O33" s="455"/>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49"/>
      <c r="GD33" s="449"/>
      <c r="GE33" s="449"/>
      <c r="GF33" s="449"/>
      <c r="GG33" s="449"/>
      <c r="GH33" s="449"/>
      <c r="GI33" s="449"/>
      <c r="GJ33" s="449"/>
      <c r="GK33" s="449"/>
      <c r="GL33" s="449"/>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49"/>
      <c r="HO33" s="449"/>
      <c r="HP33" s="449"/>
      <c r="HQ33" s="449"/>
      <c r="HR33" s="449"/>
      <c r="HS33" s="449"/>
      <c r="HT33" s="449"/>
      <c r="HU33" s="449"/>
      <c r="HV33" s="449"/>
      <c r="HW33" s="449"/>
      <c r="HX33" s="449"/>
      <c r="HY33" s="449"/>
      <c r="HZ33" s="449"/>
      <c r="IA33" s="449"/>
      <c r="IB33" s="449"/>
      <c r="IC33" s="449"/>
      <c r="ID33" s="449"/>
      <c r="IE33" s="449"/>
      <c r="IF33" s="449"/>
      <c r="IG33" s="449"/>
      <c r="IH33" s="449"/>
      <c r="II33" s="449"/>
      <c r="IJ33" s="449"/>
      <c r="IK33" s="449"/>
      <c r="IL33" s="449"/>
      <c r="IM33" s="449"/>
      <c r="IN33" s="449"/>
      <c r="IO33" s="449"/>
      <c r="IP33" s="449"/>
      <c r="IQ33" s="449"/>
      <c r="IR33" s="449"/>
      <c r="IS33" s="449"/>
      <c r="IT33" s="449"/>
      <c r="IU33" s="449"/>
      <c r="IV33" s="449"/>
    </row>
    <row r="34" spans="1:256" ht="16.5" customHeight="1">
      <c r="A34" s="449" t="s">
        <v>375</v>
      </c>
      <c r="B34" s="449"/>
      <c r="C34" s="449" t="s">
        <v>14</v>
      </c>
      <c r="D34" s="1674">
        <v>35.375</v>
      </c>
      <c r="E34" s="1671"/>
      <c r="F34" s="1674">
        <v>4.016</v>
      </c>
      <c r="G34" s="1671"/>
      <c r="H34" s="1674">
        <v>5.5970000000000004</v>
      </c>
      <c r="I34" s="1671"/>
      <c r="J34" s="1674">
        <v>0</v>
      </c>
      <c r="K34" s="1672"/>
      <c r="L34" s="1675">
        <f t="shared" si="0"/>
        <v>33.793999999999997</v>
      </c>
      <c r="M34" s="456"/>
      <c r="N34" s="449"/>
      <c r="O34" s="455"/>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49"/>
      <c r="GD34" s="449"/>
      <c r="GE34" s="449"/>
      <c r="GF34" s="449"/>
      <c r="GG34" s="449"/>
      <c r="GH34" s="449"/>
      <c r="GI34" s="449"/>
      <c r="GJ34" s="449"/>
      <c r="GK34" s="449"/>
      <c r="GL34" s="449"/>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49"/>
      <c r="HO34" s="449"/>
      <c r="HP34" s="449"/>
      <c r="HQ34" s="449"/>
      <c r="HR34" s="449"/>
      <c r="HS34" s="449"/>
      <c r="HT34" s="449"/>
      <c r="HU34" s="449"/>
      <c r="HV34" s="449"/>
      <c r="HW34" s="449"/>
      <c r="HX34" s="449"/>
      <c r="HY34" s="449"/>
      <c r="HZ34" s="449"/>
      <c r="IA34" s="449"/>
      <c r="IB34" s="449"/>
      <c r="IC34" s="449"/>
      <c r="ID34" s="449"/>
      <c r="IE34" s="449"/>
      <c r="IF34" s="449"/>
      <c r="IG34" s="449"/>
      <c r="IH34" s="449"/>
      <c r="II34" s="449"/>
      <c r="IJ34" s="449"/>
      <c r="IK34" s="449"/>
      <c r="IL34" s="449"/>
      <c r="IM34" s="449"/>
      <c r="IN34" s="449"/>
      <c r="IO34" s="449"/>
      <c r="IP34" s="449"/>
      <c r="IQ34" s="449"/>
      <c r="IR34" s="449"/>
      <c r="IS34" s="449"/>
      <c r="IT34" s="449"/>
      <c r="IU34" s="449"/>
      <c r="IV34" s="449"/>
    </row>
    <row r="35" spans="1:256" ht="15.75" customHeight="1">
      <c r="A35" s="449" t="s">
        <v>376</v>
      </c>
      <c r="B35" s="449"/>
      <c r="C35" s="449"/>
      <c r="D35" s="1674">
        <v>0.96899999999999997</v>
      </c>
      <c r="E35" s="1671"/>
      <c r="F35" s="1674">
        <v>0.70799999999999996</v>
      </c>
      <c r="G35" s="1671"/>
      <c r="H35" s="1674">
        <v>0.79200000000000004</v>
      </c>
      <c r="I35" s="1671"/>
      <c r="J35" s="1674">
        <v>0</v>
      </c>
      <c r="K35" s="1672"/>
      <c r="L35" s="1675">
        <f t="shared" si="0"/>
        <v>0.88500000000000001</v>
      </c>
      <c r="M35" s="456"/>
      <c r="N35" s="449"/>
      <c r="O35" s="455"/>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49"/>
      <c r="DJ35" s="449"/>
      <c r="DK35" s="449"/>
      <c r="DL35" s="449"/>
      <c r="DM35" s="449"/>
      <c r="DN35" s="449"/>
      <c r="DO35" s="449"/>
      <c r="DP35" s="449"/>
      <c r="DQ35" s="449"/>
      <c r="DR35" s="449"/>
      <c r="DS35" s="449"/>
      <c r="DT35" s="449"/>
      <c r="DU35" s="449"/>
      <c r="DV35" s="449"/>
      <c r="DW35" s="449"/>
      <c r="DX35" s="449"/>
      <c r="DY35" s="449"/>
      <c r="DZ35" s="449"/>
      <c r="EA35" s="449"/>
      <c r="EB35" s="449"/>
      <c r="EC35" s="449"/>
      <c r="ED35" s="449"/>
      <c r="EE35" s="449"/>
      <c r="EF35" s="449"/>
      <c r="EG35" s="449"/>
      <c r="EH35" s="449"/>
      <c r="EI35" s="449"/>
      <c r="EJ35" s="449"/>
      <c r="EK35" s="449"/>
      <c r="EL35" s="449"/>
      <c r="EM35" s="449"/>
      <c r="EN35" s="449"/>
      <c r="EO35" s="449"/>
      <c r="EP35" s="449"/>
      <c r="EQ35" s="449"/>
      <c r="ER35" s="449"/>
      <c r="ES35" s="449"/>
      <c r="ET35" s="449"/>
      <c r="EU35" s="449"/>
      <c r="EV35" s="449"/>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row>
    <row r="36" spans="1:256" ht="15.75" customHeight="1">
      <c r="A36" s="449" t="s">
        <v>377</v>
      </c>
      <c r="B36" s="449"/>
      <c r="C36" s="449"/>
      <c r="D36" s="1674">
        <v>705.07899999999995</v>
      </c>
      <c r="E36" s="1671"/>
      <c r="F36" s="1674">
        <v>99.840999999999994</v>
      </c>
      <c r="G36" s="1671"/>
      <c r="H36" s="1674">
        <v>104.59099999999999</v>
      </c>
      <c r="I36" s="1671"/>
      <c r="J36" s="1674">
        <v>0</v>
      </c>
      <c r="K36" s="1672"/>
      <c r="L36" s="1675">
        <f t="shared" si="0"/>
        <v>700.32899999999995</v>
      </c>
      <c r="M36" s="461"/>
      <c r="N36" s="449"/>
      <c r="O36" s="455"/>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449"/>
      <c r="DS36" s="449"/>
      <c r="DT36" s="449"/>
      <c r="DU36" s="449"/>
      <c r="DV36" s="449"/>
      <c r="DW36" s="449"/>
      <c r="DX36" s="449"/>
      <c r="DY36" s="449"/>
      <c r="DZ36" s="449"/>
      <c r="EA36" s="449"/>
      <c r="EB36" s="449"/>
      <c r="EC36" s="449"/>
      <c r="ED36" s="449"/>
      <c r="EE36" s="449"/>
      <c r="EF36" s="449"/>
      <c r="EG36" s="449"/>
      <c r="EH36" s="449"/>
      <c r="EI36" s="449"/>
      <c r="EJ36" s="449"/>
      <c r="EK36" s="449"/>
      <c r="EL36" s="449"/>
      <c r="EM36" s="449"/>
      <c r="EN36" s="449"/>
      <c r="EO36" s="449"/>
      <c r="EP36" s="449"/>
      <c r="EQ36" s="449"/>
      <c r="ER36" s="449"/>
      <c r="ES36" s="449"/>
      <c r="ET36" s="449"/>
      <c r="EU36" s="449"/>
      <c r="EV36" s="449"/>
      <c r="EW36" s="449"/>
      <c r="EX36" s="449"/>
      <c r="EY36" s="449"/>
      <c r="EZ36" s="449"/>
      <c r="FA36" s="449"/>
      <c r="FB36" s="449"/>
      <c r="FC36" s="449"/>
      <c r="FD36" s="449"/>
      <c r="FE36" s="449"/>
      <c r="FF36" s="449"/>
      <c r="FG36" s="449"/>
      <c r="FH36" s="449"/>
      <c r="FI36" s="449"/>
      <c r="FJ36" s="449"/>
      <c r="FK36" s="449"/>
      <c r="FL36" s="449"/>
      <c r="FM36" s="449"/>
      <c r="FN36" s="449"/>
      <c r="FO36" s="449"/>
      <c r="FP36" s="449"/>
      <c r="FQ36" s="449"/>
      <c r="FR36" s="449"/>
      <c r="FS36" s="449"/>
      <c r="FT36" s="449"/>
      <c r="FU36" s="449"/>
      <c r="FV36" s="449"/>
      <c r="FW36" s="449"/>
      <c r="FX36" s="449"/>
      <c r="FY36" s="449"/>
      <c r="FZ36" s="449"/>
      <c r="GA36" s="449"/>
      <c r="GB36" s="449"/>
      <c r="GC36" s="449"/>
      <c r="GD36" s="449"/>
      <c r="GE36" s="449"/>
      <c r="GF36" s="449"/>
      <c r="GG36" s="449"/>
      <c r="GH36" s="449"/>
      <c r="GI36" s="449"/>
      <c r="GJ36" s="449"/>
      <c r="GK36" s="449"/>
      <c r="GL36" s="449"/>
      <c r="GM36" s="449"/>
      <c r="GN36" s="449"/>
      <c r="GO36" s="449"/>
      <c r="GP36" s="449"/>
      <c r="GQ36" s="449"/>
      <c r="GR36" s="449"/>
      <c r="GS36" s="449"/>
      <c r="GT36" s="449"/>
      <c r="GU36" s="449"/>
      <c r="GV36" s="449"/>
      <c r="GW36" s="449"/>
      <c r="GX36" s="449"/>
      <c r="GY36" s="449"/>
      <c r="GZ36" s="449"/>
      <c r="HA36" s="449"/>
      <c r="HB36" s="449"/>
      <c r="HC36" s="449"/>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row>
    <row r="37" spans="1:256" ht="16.5" customHeight="1">
      <c r="A37" s="449" t="s">
        <v>378</v>
      </c>
      <c r="B37" s="449"/>
      <c r="C37" s="449"/>
      <c r="D37" s="1674">
        <v>0</v>
      </c>
      <c r="E37" s="1671"/>
      <c r="F37" s="1674">
        <v>0</v>
      </c>
      <c r="G37" s="1671"/>
      <c r="H37" s="1674">
        <v>0</v>
      </c>
      <c r="I37" s="1671"/>
      <c r="J37" s="1674">
        <v>0</v>
      </c>
      <c r="K37" s="1672"/>
      <c r="L37" s="1675">
        <f t="shared" si="0"/>
        <v>0</v>
      </c>
      <c r="M37" s="456"/>
      <c r="N37" s="449"/>
      <c r="O37" s="455"/>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49"/>
      <c r="CY37" s="449"/>
      <c r="CZ37" s="449"/>
      <c r="DA37" s="449"/>
      <c r="DB37" s="449"/>
      <c r="DC37" s="449"/>
      <c r="DD37" s="449"/>
      <c r="DE37" s="449"/>
      <c r="DF37" s="449"/>
      <c r="DG37" s="449"/>
      <c r="DH37" s="449"/>
      <c r="DI37" s="449"/>
      <c r="DJ37" s="449"/>
      <c r="DK37" s="449"/>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49"/>
      <c r="EU37" s="449"/>
      <c r="EV37" s="449"/>
      <c r="EW37" s="449"/>
      <c r="EX37" s="449"/>
      <c r="EY37" s="449"/>
      <c r="EZ37" s="449"/>
      <c r="FA37" s="449"/>
      <c r="FB37" s="449"/>
      <c r="FC37" s="449"/>
      <c r="FD37" s="449"/>
      <c r="FE37" s="449"/>
      <c r="FF37" s="449"/>
      <c r="FG37" s="449"/>
      <c r="FH37" s="449"/>
      <c r="FI37" s="449"/>
      <c r="FJ37" s="449"/>
      <c r="FK37" s="449"/>
      <c r="FL37" s="449"/>
      <c r="FM37" s="449"/>
      <c r="FN37" s="449"/>
      <c r="FO37" s="449"/>
      <c r="FP37" s="449"/>
      <c r="FQ37" s="449"/>
      <c r="FR37" s="449"/>
      <c r="FS37" s="449"/>
      <c r="FT37" s="449"/>
      <c r="FU37" s="449"/>
      <c r="FV37" s="449"/>
      <c r="FW37" s="449"/>
      <c r="FX37" s="449"/>
      <c r="FY37" s="449"/>
      <c r="FZ37" s="449"/>
      <c r="GA37" s="449"/>
      <c r="GB37" s="449"/>
      <c r="GC37" s="449"/>
      <c r="GD37" s="449"/>
      <c r="GE37" s="449"/>
      <c r="GF37" s="449"/>
      <c r="GG37" s="449"/>
      <c r="GH37" s="449"/>
      <c r="GI37" s="449"/>
      <c r="GJ37" s="449"/>
      <c r="GK37" s="449"/>
      <c r="GL37" s="449"/>
      <c r="GM37" s="449"/>
      <c r="GN37" s="449"/>
      <c r="GO37" s="449"/>
      <c r="GP37" s="449"/>
      <c r="GQ37" s="449"/>
      <c r="GR37" s="449"/>
      <c r="GS37" s="449"/>
      <c r="GT37" s="449"/>
      <c r="GU37" s="449"/>
      <c r="GV37" s="449"/>
      <c r="GW37" s="449"/>
      <c r="GX37" s="449"/>
      <c r="GY37" s="449"/>
      <c r="GZ37" s="449"/>
      <c r="HA37" s="449"/>
      <c r="HB37" s="449"/>
      <c r="HC37" s="449"/>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row>
    <row r="38" spans="1:256" ht="16.5" customHeight="1">
      <c r="A38" s="449" t="s">
        <v>379</v>
      </c>
      <c r="B38" s="449"/>
      <c r="C38" s="449"/>
      <c r="D38" s="1674">
        <v>1034.769</v>
      </c>
      <c r="E38" s="1671"/>
      <c r="F38" s="1674">
        <v>656.38699999999994</v>
      </c>
      <c r="G38" s="1671"/>
      <c r="H38" s="1674">
        <v>605.25300000000004</v>
      </c>
      <c r="I38" s="1671"/>
      <c r="J38" s="1674">
        <v>0</v>
      </c>
      <c r="K38" s="1672"/>
      <c r="L38" s="1675">
        <f t="shared" si="0"/>
        <v>1085.903</v>
      </c>
      <c r="M38" s="456"/>
      <c r="N38" s="449"/>
      <c r="O38" s="455"/>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49"/>
      <c r="DK38" s="449"/>
      <c r="DL38" s="449"/>
      <c r="DM38" s="449"/>
      <c r="DN38" s="449"/>
      <c r="DO38" s="449"/>
      <c r="DP38" s="449"/>
      <c r="DQ38" s="449"/>
      <c r="DR38" s="449"/>
      <c r="DS38" s="449"/>
      <c r="DT38" s="449"/>
      <c r="DU38" s="449"/>
      <c r="DV38" s="449"/>
      <c r="DW38" s="449"/>
      <c r="DX38" s="449"/>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49"/>
      <c r="GI38" s="449"/>
      <c r="GJ38" s="449"/>
      <c r="GK38" s="449"/>
      <c r="GL38" s="449"/>
      <c r="GM38" s="449"/>
      <c r="GN38" s="449"/>
      <c r="GO38" s="449"/>
      <c r="GP38" s="449"/>
      <c r="GQ38" s="449"/>
      <c r="GR38" s="449"/>
      <c r="GS38" s="449"/>
      <c r="GT38" s="449"/>
      <c r="GU38" s="449"/>
      <c r="GV38" s="449"/>
      <c r="GW38" s="449"/>
      <c r="GX38" s="449"/>
      <c r="GY38" s="449"/>
      <c r="GZ38" s="449"/>
      <c r="HA38" s="449"/>
      <c r="HB38" s="449"/>
      <c r="HC38" s="449"/>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row>
    <row r="39" spans="1:256" ht="16.5" customHeight="1">
      <c r="A39" s="449" t="s">
        <v>925</v>
      </c>
      <c r="B39" s="449"/>
      <c r="C39" s="449"/>
      <c r="D39" s="1674">
        <v>28.334</v>
      </c>
      <c r="E39" s="1671"/>
      <c r="F39" s="1674">
        <v>7.52</v>
      </c>
      <c r="G39" s="1671"/>
      <c r="H39" s="1674">
        <v>7.5220000000000002</v>
      </c>
      <c r="I39" s="1671"/>
      <c r="J39" s="1674">
        <v>0</v>
      </c>
      <c r="K39" s="1672"/>
      <c r="L39" s="1675">
        <f t="shared" si="0"/>
        <v>28.332000000000001</v>
      </c>
      <c r="M39" s="456"/>
      <c r="N39" s="449"/>
      <c r="O39" s="455"/>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49"/>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row>
    <row r="40" spans="1:256" ht="16.5" customHeight="1">
      <c r="A40" s="449" t="s">
        <v>926</v>
      </c>
      <c r="B40" s="449"/>
      <c r="C40" s="449"/>
      <c r="D40" s="1674">
        <v>725.07100000000003</v>
      </c>
      <c r="E40" s="1671"/>
      <c r="F40" s="1674">
        <v>6484.0039999999999</v>
      </c>
      <c r="G40" s="1671"/>
      <c r="H40" s="1674">
        <v>6495.7820000000002</v>
      </c>
      <c r="I40" s="1671"/>
      <c r="J40" s="1674">
        <v>0</v>
      </c>
      <c r="K40" s="2986"/>
      <c r="L40" s="1675">
        <f t="shared" si="0"/>
        <v>713.29300000000001</v>
      </c>
      <c r="M40" s="456"/>
      <c r="N40" s="449"/>
      <c r="O40" s="455"/>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c r="DP40" s="449"/>
      <c r="DQ40" s="449"/>
      <c r="DR40" s="449"/>
      <c r="DS40" s="449"/>
      <c r="DT40" s="449"/>
      <c r="DU40" s="449"/>
      <c r="DV40" s="449"/>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49"/>
      <c r="GD40" s="449"/>
      <c r="GE40" s="449"/>
      <c r="GF40" s="449"/>
      <c r="GG40" s="449"/>
      <c r="GH40" s="449"/>
      <c r="GI40" s="449"/>
      <c r="GJ40" s="449"/>
      <c r="GK40" s="449"/>
      <c r="GL40" s="449"/>
      <c r="GM40" s="449"/>
      <c r="GN40" s="449"/>
      <c r="GO40" s="449"/>
      <c r="GP40" s="449"/>
      <c r="GQ40" s="449"/>
      <c r="GR40" s="449"/>
      <c r="GS40" s="449"/>
      <c r="GT40" s="449"/>
      <c r="GU40" s="449"/>
      <c r="GV40" s="449"/>
      <c r="GW40" s="449"/>
      <c r="GX40" s="449"/>
      <c r="GY40" s="449"/>
      <c r="GZ40" s="449"/>
      <c r="HA40" s="449"/>
      <c r="HB40" s="449"/>
      <c r="HC40" s="449"/>
      <c r="HD40" s="449"/>
      <c r="HE40" s="449"/>
      <c r="HF40" s="449"/>
      <c r="HG40" s="449"/>
      <c r="HH40" s="449"/>
      <c r="HI40" s="449"/>
      <c r="HJ40" s="449"/>
      <c r="HK40" s="449"/>
      <c r="HL40" s="449"/>
      <c r="HM40" s="449"/>
      <c r="HN40" s="449"/>
      <c r="HO40" s="449"/>
      <c r="HP40" s="449"/>
      <c r="HQ40" s="449"/>
      <c r="HR40" s="449"/>
      <c r="HS40" s="449"/>
      <c r="HT40" s="449"/>
      <c r="HU40" s="449"/>
      <c r="HV40" s="449"/>
      <c r="HW40" s="449"/>
      <c r="HX40" s="449"/>
      <c r="HY40" s="449"/>
      <c r="HZ40" s="449"/>
      <c r="IA40" s="449"/>
      <c r="IB40" s="449"/>
      <c r="IC40" s="449"/>
      <c r="ID40" s="449"/>
      <c r="IE40" s="449"/>
      <c r="IF40" s="449"/>
      <c r="IG40" s="449"/>
      <c r="IH40" s="449"/>
      <c r="II40" s="449"/>
      <c r="IJ40" s="449"/>
      <c r="IK40" s="449"/>
      <c r="IL40" s="449"/>
      <c r="IM40" s="449"/>
      <c r="IN40" s="449"/>
      <c r="IO40" s="449"/>
      <c r="IP40" s="449"/>
      <c r="IQ40" s="449"/>
      <c r="IR40" s="449"/>
      <c r="IS40" s="449"/>
      <c r="IT40" s="449"/>
      <c r="IU40" s="449"/>
      <c r="IV40" s="449"/>
    </row>
    <row r="41" spans="1:256" ht="15.75" customHeight="1">
      <c r="A41" s="449" t="s">
        <v>381</v>
      </c>
      <c r="B41" s="449"/>
      <c r="C41" s="449"/>
      <c r="D41" s="1674">
        <v>0</v>
      </c>
      <c r="E41" s="1671"/>
      <c r="F41" s="1674">
        <v>0</v>
      </c>
      <c r="G41" s="1671"/>
      <c r="H41" s="1674">
        <v>0</v>
      </c>
      <c r="I41" s="1671"/>
      <c r="J41" s="1674">
        <v>0</v>
      </c>
      <c r="K41" s="1672"/>
      <c r="L41" s="1675">
        <f t="shared" si="0"/>
        <v>0</v>
      </c>
      <c r="M41" s="456"/>
      <c r="N41" s="449"/>
      <c r="O41" s="455"/>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49"/>
      <c r="EU41" s="449"/>
      <c r="EV41" s="449"/>
      <c r="EW41" s="449"/>
      <c r="EX41" s="449"/>
      <c r="EY41" s="449"/>
      <c r="EZ41" s="449"/>
      <c r="FA41" s="449"/>
      <c r="FB41" s="449"/>
      <c r="FC41" s="449"/>
      <c r="FD41" s="449"/>
      <c r="FE41" s="449"/>
      <c r="FF41" s="449"/>
      <c r="FG41" s="449"/>
      <c r="FH41" s="449"/>
      <c r="FI41" s="449"/>
      <c r="FJ41" s="449"/>
      <c r="FK41" s="449"/>
      <c r="FL41" s="449"/>
      <c r="FM41" s="449"/>
      <c r="FN41" s="449"/>
      <c r="FO41" s="449"/>
      <c r="FP41" s="449"/>
      <c r="FQ41" s="449"/>
      <c r="FR41" s="449"/>
      <c r="FS41" s="449"/>
      <c r="FT41" s="449"/>
      <c r="FU41" s="449"/>
      <c r="FV41" s="449"/>
      <c r="FW41" s="449"/>
      <c r="FX41" s="449"/>
      <c r="FY41" s="449"/>
      <c r="FZ41" s="449"/>
      <c r="GA41" s="449"/>
      <c r="GB41" s="449"/>
      <c r="GC41" s="449"/>
      <c r="GD41" s="449"/>
      <c r="GE41" s="449"/>
      <c r="GF41" s="449"/>
      <c r="GG41" s="449"/>
      <c r="GH41" s="449"/>
      <c r="GI41" s="449"/>
      <c r="GJ41" s="449"/>
      <c r="GK41" s="449"/>
      <c r="GL41" s="449"/>
      <c r="GM41" s="449"/>
      <c r="GN41" s="449"/>
      <c r="GO41" s="449"/>
      <c r="GP41" s="449"/>
      <c r="GQ41" s="449"/>
      <c r="GR41" s="449"/>
      <c r="GS41" s="449"/>
      <c r="GT41" s="449"/>
      <c r="GU41" s="449"/>
      <c r="GV41" s="449"/>
      <c r="GW41" s="449"/>
      <c r="GX41" s="449"/>
      <c r="GY41" s="449"/>
      <c r="GZ41" s="449"/>
      <c r="HA41" s="449"/>
      <c r="HB41" s="449"/>
      <c r="HC41" s="449"/>
      <c r="HD41" s="449"/>
      <c r="HE41" s="449"/>
      <c r="HF41" s="449"/>
      <c r="HG41" s="449"/>
      <c r="HH41" s="449"/>
      <c r="HI41" s="449"/>
      <c r="HJ41" s="449"/>
      <c r="HK41" s="449"/>
      <c r="HL41" s="449"/>
      <c r="HM41" s="449"/>
      <c r="HN41" s="449"/>
      <c r="HO41" s="449"/>
      <c r="HP41" s="449"/>
      <c r="HQ41" s="449"/>
      <c r="HR41" s="449"/>
      <c r="HS41" s="449"/>
      <c r="HT41" s="449"/>
      <c r="HU41" s="449"/>
      <c r="HV41" s="449"/>
      <c r="HW41" s="449"/>
      <c r="HX41" s="449"/>
      <c r="HY41" s="449"/>
      <c r="HZ41" s="449"/>
      <c r="IA41" s="449"/>
      <c r="IB41" s="449"/>
      <c r="IC41" s="449"/>
      <c r="ID41" s="449"/>
      <c r="IE41" s="449"/>
      <c r="IF41" s="449"/>
      <c r="IG41" s="449"/>
      <c r="IH41" s="449"/>
      <c r="II41" s="449"/>
      <c r="IJ41" s="449"/>
      <c r="IK41" s="449"/>
      <c r="IL41" s="449"/>
      <c r="IM41" s="449"/>
      <c r="IN41" s="449"/>
      <c r="IO41" s="449"/>
      <c r="IP41" s="449"/>
      <c r="IQ41" s="449"/>
      <c r="IR41" s="449"/>
      <c r="IS41" s="449"/>
      <c r="IT41" s="449"/>
      <c r="IU41" s="449"/>
      <c r="IV41" s="449"/>
    </row>
    <row r="42" spans="1:256" ht="15.75" customHeight="1">
      <c r="A42" s="449" t="s">
        <v>919</v>
      </c>
      <c r="B42" s="449"/>
      <c r="C42" s="449"/>
      <c r="D42" s="1674">
        <v>141.54900000000001</v>
      </c>
      <c r="E42" s="1671"/>
      <c r="F42" s="1674">
        <v>301.887</v>
      </c>
      <c r="G42" s="1671"/>
      <c r="H42" s="1674">
        <v>0</v>
      </c>
      <c r="I42" s="1671"/>
      <c r="J42" s="1674">
        <v>0</v>
      </c>
      <c r="K42" s="1672"/>
      <c r="L42" s="1675">
        <f t="shared" si="0"/>
        <v>443.43599999999998</v>
      </c>
      <c r="M42" s="456"/>
      <c r="N42" s="449"/>
      <c r="O42" s="455"/>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49"/>
      <c r="DV42" s="449"/>
      <c r="DW42" s="449"/>
      <c r="DX42" s="449"/>
      <c r="DY42" s="449"/>
      <c r="DZ42" s="449"/>
      <c r="EA42" s="449"/>
      <c r="EB42" s="449"/>
      <c r="EC42" s="449"/>
      <c r="ED42" s="449"/>
      <c r="EE42" s="449"/>
      <c r="EF42" s="449"/>
      <c r="EG42" s="449"/>
      <c r="EH42" s="449"/>
      <c r="EI42" s="449"/>
      <c r="EJ42" s="449"/>
      <c r="EK42" s="449"/>
      <c r="EL42" s="449"/>
      <c r="EM42" s="449"/>
      <c r="EN42" s="449"/>
      <c r="EO42" s="449"/>
      <c r="EP42" s="449"/>
      <c r="EQ42" s="449"/>
      <c r="ER42" s="449"/>
      <c r="ES42" s="449"/>
      <c r="ET42" s="449"/>
      <c r="EU42" s="449"/>
      <c r="EV42" s="449"/>
      <c r="EW42" s="449"/>
      <c r="EX42" s="449"/>
      <c r="EY42" s="449"/>
      <c r="EZ42" s="449"/>
      <c r="FA42" s="449"/>
      <c r="FB42" s="449"/>
      <c r="FC42" s="449"/>
      <c r="FD42" s="449"/>
      <c r="FE42" s="449"/>
      <c r="FF42" s="449"/>
      <c r="FG42" s="449"/>
      <c r="FH42" s="449"/>
      <c r="FI42" s="449"/>
      <c r="FJ42" s="449"/>
      <c r="FK42" s="449"/>
      <c r="FL42" s="449"/>
      <c r="FM42" s="449"/>
      <c r="FN42" s="449"/>
      <c r="FO42" s="449"/>
      <c r="FP42" s="449"/>
      <c r="FQ42" s="449"/>
      <c r="FR42" s="449"/>
      <c r="FS42" s="449"/>
      <c r="FT42" s="449"/>
      <c r="FU42" s="449"/>
      <c r="FV42" s="449"/>
      <c r="FW42" s="449"/>
      <c r="FX42" s="449"/>
      <c r="FY42" s="449"/>
      <c r="FZ42" s="449"/>
      <c r="GA42" s="449"/>
      <c r="GB42" s="449"/>
      <c r="GC42" s="449"/>
      <c r="GD42" s="449"/>
      <c r="GE42" s="449"/>
      <c r="GF42" s="449"/>
      <c r="GG42" s="449"/>
      <c r="GH42" s="449"/>
      <c r="GI42" s="449"/>
      <c r="GJ42" s="449"/>
      <c r="GK42" s="449"/>
      <c r="GL42" s="449"/>
      <c r="GM42" s="449"/>
      <c r="GN42" s="449"/>
      <c r="GO42" s="449"/>
      <c r="GP42" s="449"/>
      <c r="GQ42" s="449"/>
      <c r="GR42" s="449"/>
      <c r="GS42" s="449"/>
      <c r="GT42" s="449"/>
      <c r="GU42" s="449"/>
      <c r="GV42" s="449"/>
      <c r="GW42" s="449"/>
      <c r="GX42" s="449"/>
      <c r="GY42" s="449"/>
      <c r="GZ42" s="449"/>
      <c r="HA42" s="449"/>
      <c r="HB42" s="449"/>
      <c r="HC42" s="449"/>
      <c r="HD42" s="449"/>
      <c r="HE42" s="449"/>
      <c r="HF42" s="449"/>
      <c r="HG42" s="449"/>
      <c r="HH42" s="449"/>
      <c r="HI42" s="449"/>
      <c r="HJ42" s="449"/>
      <c r="HK42" s="449"/>
      <c r="HL42" s="449"/>
      <c r="HM42" s="449"/>
      <c r="HN42" s="449"/>
      <c r="HO42" s="449"/>
      <c r="HP42" s="449"/>
      <c r="HQ42" s="449"/>
      <c r="HR42" s="449"/>
      <c r="HS42" s="449"/>
      <c r="HT42" s="449"/>
      <c r="HU42" s="449"/>
      <c r="HV42" s="449"/>
      <c r="HW42" s="449"/>
      <c r="HX42" s="449"/>
      <c r="HY42" s="449"/>
      <c r="HZ42" s="449"/>
      <c r="IA42" s="449"/>
      <c r="IB42" s="449"/>
      <c r="IC42" s="449"/>
      <c r="ID42" s="449"/>
      <c r="IE42" s="449"/>
      <c r="IF42" s="449"/>
      <c r="IG42" s="449"/>
      <c r="IH42" s="449"/>
      <c r="II42" s="449"/>
      <c r="IJ42" s="449"/>
      <c r="IK42" s="449"/>
      <c r="IL42" s="449"/>
      <c r="IM42" s="449"/>
      <c r="IN42" s="449"/>
      <c r="IO42" s="449"/>
      <c r="IP42" s="449"/>
      <c r="IQ42" s="449"/>
      <c r="IR42" s="449"/>
      <c r="IS42" s="449"/>
      <c r="IT42" s="449"/>
      <c r="IU42" s="449"/>
      <c r="IV42" s="449"/>
    </row>
    <row r="43" spans="1:256" ht="15.75" customHeight="1">
      <c r="A43" s="449" t="s">
        <v>920</v>
      </c>
      <c r="B43" s="449"/>
      <c r="C43" s="449"/>
      <c r="D43" s="1674">
        <v>-20.892999999999997</v>
      </c>
      <c r="E43" s="1671"/>
      <c r="F43" s="1674">
        <v>217.84100000000001</v>
      </c>
      <c r="G43" s="1671"/>
      <c r="H43" s="1674">
        <v>293.84399999999999</v>
      </c>
      <c r="I43" s="1671"/>
      <c r="J43" s="1674">
        <v>0</v>
      </c>
      <c r="K43" s="1672"/>
      <c r="L43" s="1675">
        <f t="shared" si="0"/>
        <v>-96.896000000000001</v>
      </c>
      <c r="M43" s="456"/>
      <c r="N43" s="449"/>
      <c r="O43" s="455"/>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c r="FJ43" s="449"/>
      <c r="FK43" s="449"/>
      <c r="FL43" s="449"/>
      <c r="FM43" s="449"/>
      <c r="FN43" s="449"/>
      <c r="FO43" s="449"/>
      <c r="FP43" s="449"/>
      <c r="FQ43" s="449"/>
      <c r="FR43" s="449"/>
      <c r="FS43" s="449"/>
      <c r="FT43" s="449"/>
      <c r="FU43" s="449"/>
      <c r="FV43" s="449"/>
      <c r="FW43" s="449"/>
      <c r="FX43" s="449"/>
      <c r="FY43" s="449"/>
      <c r="FZ43" s="449"/>
      <c r="GA43" s="449"/>
      <c r="GB43" s="449"/>
      <c r="GC43" s="449"/>
      <c r="GD43" s="449"/>
      <c r="GE43" s="449"/>
      <c r="GF43" s="449"/>
      <c r="GG43" s="449"/>
      <c r="GH43" s="449"/>
      <c r="GI43" s="449"/>
      <c r="GJ43" s="449"/>
      <c r="GK43" s="449"/>
      <c r="GL43" s="449"/>
      <c r="GM43" s="449"/>
      <c r="GN43" s="449"/>
      <c r="GO43" s="449"/>
      <c r="GP43" s="449"/>
      <c r="GQ43" s="449"/>
      <c r="GR43" s="449"/>
      <c r="GS43" s="449"/>
      <c r="GT43" s="449"/>
      <c r="GU43" s="449"/>
      <c r="GV43" s="449"/>
      <c r="GW43" s="449"/>
      <c r="GX43" s="449"/>
      <c r="GY43" s="449"/>
      <c r="GZ43" s="449"/>
      <c r="HA43" s="449"/>
      <c r="HB43" s="449"/>
      <c r="HC43" s="449"/>
      <c r="HD43" s="449"/>
      <c r="HE43" s="449"/>
      <c r="HF43" s="449"/>
      <c r="HG43" s="449"/>
      <c r="HH43" s="449"/>
      <c r="HI43" s="449"/>
      <c r="HJ43" s="449"/>
      <c r="HK43" s="449"/>
      <c r="HL43" s="449"/>
      <c r="HM43" s="449"/>
      <c r="HN43" s="449"/>
      <c r="HO43" s="449"/>
      <c r="HP43" s="449"/>
      <c r="HQ43" s="449"/>
      <c r="HR43" s="449"/>
      <c r="HS43" s="449"/>
      <c r="HT43" s="449"/>
      <c r="HU43" s="449"/>
      <c r="HV43" s="449"/>
      <c r="HW43" s="449"/>
      <c r="HX43" s="449"/>
      <c r="HY43" s="449"/>
      <c r="HZ43" s="449"/>
      <c r="IA43" s="449"/>
      <c r="IB43" s="449"/>
      <c r="IC43" s="449"/>
      <c r="ID43" s="449"/>
      <c r="IE43" s="449"/>
      <c r="IF43" s="449"/>
      <c r="IG43" s="449"/>
      <c r="IH43" s="449"/>
      <c r="II43" s="449"/>
      <c r="IJ43" s="449"/>
      <c r="IK43" s="449"/>
      <c r="IL43" s="449"/>
      <c r="IM43" s="449"/>
      <c r="IN43" s="449"/>
      <c r="IO43" s="449"/>
      <c r="IP43" s="449"/>
      <c r="IQ43" s="449"/>
      <c r="IR43" s="449"/>
      <c r="IS43" s="449"/>
      <c r="IT43" s="449"/>
      <c r="IU43" s="449"/>
      <c r="IV43" s="449"/>
    </row>
    <row r="44" spans="1:256" ht="18" customHeight="1">
      <c r="A44" s="449" t="s">
        <v>1112</v>
      </c>
      <c r="B44" s="449"/>
      <c r="C44" s="449"/>
      <c r="D44" s="1674">
        <v>0</v>
      </c>
      <c r="E44" s="1671"/>
      <c r="F44" s="1674">
        <v>0</v>
      </c>
      <c r="G44" s="1671"/>
      <c r="H44" s="1674">
        <v>0</v>
      </c>
      <c r="I44" s="1671"/>
      <c r="J44" s="1674">
        <v>0</v>
      </c>
      <c r="K44" s="1672"/>
      <c r="L44" s="1675">
        <f t="shared" si="0"/>
        <v>0</v>
      </c>
      <c r="M44" s="456"/>
      <c r="N44" s="449"/>
      <c r="O44" s="455"/>
      <c r="P44" s="462"/>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49"/>
      <c r="DV44" s="449"/>
      <c r="DW44" s="449"/>
      <c r="DX44" s="449"/>
      <c r="DY44" s="449"/>
      <c r="DZ44" s="449"/>
      <c r="EA44" s="449"/>
      <c r="EB44" s="449"/>
      <c r="EC44" s="449"/>
      <c r="ED44" s="449"/>
      <c r="EE44" s="449"/>
      <c r="EF44" s="449"/>
      <c r="EG44" s="449"/>
      <c r="EH44" s="449"/>
      <c r="EI44" s="449"/>
      <c r="EJ44" s="449"/>
      <c r="EK44" s="449"/>
      <c r="EL44" s="449"/>
      <c r="EM44" s="449"/>
      <c r="EN44" s="449"/>
      <c r="EO44" s="449"/>
      <c r="EP44" s="449"/>
      <c r="EQ44" s="449"/>
      <c r="ER44" s="449"/>
      <c r="ES44" s="449"/>
      <c r="ET44" s="449"/>
      <c r="EU44" s="449"/>
      <c r="EV44" s="449"/>
      <c r="EW44" s="449"/>
      <c r="EX44" s="449"/>
      <c r="EY44" s="449"/>
      <c r="EZ44" s="449"/>
      <c r="FA44" s="449"/>
      <c r="FB44" s="449"/>
      <c r="FC44" s="449"/>
      <c r="FD44" s="449"/>
      <c r="FE44" s="449"/>
      <c r="FF44" s="449"/>
      <c r="FG44" s="449"/>
      <c r="FH44" s="449"/>
      <c r="FI44" s="449"/>
      <c r="FJ44" s="449"/>
      <c r="FK44" s="449"/>
      <c r="FL44" s="449"/>
      <c r="FM44" s="449"/>
      <c r="FN44" s="449"/>
      <c r="FO44" s="449"/>
      <c r="FP44" s="449"/>
      <c r="FQ44" s="449"/>
      <c r="FR44" s="449"/>
      <c r="FS44" s="449"/>
      <c r="FT44" s="449"/>
      <c r="FU44" s="449"/>
      <c r="FV44" s="449"/>
      <c r="FW44" s="449"/>
      <c r="FX44" s="449"/>
      <c r="FY44" s="449"/>
      <c r="FZ44" s="449"/>
      <c r="GA44" s="449"/>
      <c r="GB44" s="449"/>
      <c r="GC44" s="449"/>
      <c r="GD44" s="449"/>
      <c r="GE44" s="449"/>
      <c r="GF44" s="449"/>
      <c r="GG44" s="449"/>
      <c r="GH44" s="449"/>
      <c r="GI44" s="449"/>
      <c r="GJ44" s="449"/>
      <c r="GK44" s="449"/>
      <c r="GL44" s="449"/>
      <c r="GM44" s="449"/>
      <c r="GN44" s="449"/>
      <c r="GO44" s="449"/>
      <c r="GP44" s="449"/>
      <c r="GQ44" s="449"/>
      <c r="GR44" s="449"/>
      <c r="GS44" s="449"/>
      <c r="GT44" s="449"/>
      <c r="GU44" s="449"/>
      <c r="GV44" s="449"/>
      <c r="GW44" s="449"/>
      <c r="GX44" s="449"/>
      <c r="GY44" s="449"/>
      <c r="GZ44" s="449"/>
      <c r="HA44" s="449"/>
      <c r="HB44" s="449"/>
      <c r="HC44" s="449"/>
      <c r="HD44" s="449"/>
      <c r="HE44" s="449"/>
      <c r="HF44" s="449"/>
      <c r="HG44" s="449"/>
      <c r="HH44" s="449"/>
      <c r="HI44" s="449"/>
      <c r="HJ44" s="449"/>
      <c r="HK44" s="449"/>
      <c r="HL44" s="449"/>
      <c r="HM44" s="449"/>
      <c r="HN44" s="449"/>
      <c r="HO44" s="449"/>
      <c r="HP44" s="449"/>
      <c r="HQ44" s="449"/>
      <c r="HR44" s="449"/>
      <c r="HS44" s="449"/>
      <c r="HT44" s="449"/>
      <c r="HU44" s="449"/>
      <c r="HV44" s="449"/>
      <c r="HW44" s="449"/>
      <c r="HX44" s="449"/>
      <c r="HY44" s="449"/>
      <c r="HZ44" s="449"/>
      <c r="IA44" s="449"/>
      <c r="IB44" s="449"/>
      <c r="IC44" s="449"/>
      <c r="ID44" s="449"/>
      <c r="IE44" s="449"/>
      <c r="IF44" s="449"/>
      <c r="IG44" s="449"/>
      <c r="IH44" s="449"/>
      <c r="II44" s="449"/>
      <c r="IJ44" s="449"/>
      <c r="IK44" s="449"/>
      <c r="IL44" s="449"/>
      <c r="IM44" s="449"/>
      <c r="IN44" s="449"/>
      <c r="IO44" s="449"/>
      <c r="IP44" s="449"/>
      <c r="IQ44" s="449"/>
      <c r="IR44" s="449"/>
      <c r="IS44" s="449"/>
      <c r="IT44" s="449"/>
      <c r="IU44" s="449"/>
      <c r="IV44" s="449"/>
    </row>
    <row r="45" spans="1:256" ht="17.25" customHeight="1">
      <c r="A45" s="445" t="s">
        <v>1107</v>
      </c>
      <c r="B45" s="449"/>
      <c r="C45" s="449"/>
      <c r="D45" s="696">
        <f>ROUND(SUM(D29:D44),3)</f>
        <v>3731.9969999999998</v>
      </c>
      <c r="E45" s="688"/>
      <c r="F45" s="696">
        <f>ROUND(SUM(F29:F44),3)</f>
        <v>9157.6479999999992</v>
      </c>
      <c r="G45" s="688"/>
      <c r="H45" s="696">
        <f>ROUND(SUM(H29:H44),3)</f>
        <v>8903.9459999999999</v>
      </c>
      <c r="I45" s="688"/>
      <c r="J45" s="696">
        <f>ROUND(SUM(J29:J44),3)</f>
        <v>0</v>
      </c>
      <c r="K45" s="688"/>
      <c r="L45" s="696">
        <f>ROUND(SUM(L29:L44),3)</f>
        <v>3985.6990000000001</v>
      </c>
      <c r="M45" s="457"/>
      <c r="N45" s="395"/>
      <c r="O45" s="455"/>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49"/>
      <c r="GD45" s="449"/>
      <c r="GE45" s="449"/>
      <c r="GF45" s="449"/>
      <c r="GG45" s="449"/>
      <c r="GH45" s="449"/>
      <c r="GI45" s="449"/>
      <c r="GJ45" s="449"/>
      <c r="GK45" s="449"/>
      <c r="GL45" s="449"/>
      <c r="GM45" s="449"/>
      <c r="GN45" s="449"/>
      <c r="GO45" s="449"/>
      <c r="GP45" s="449"/>
      <c r="GQ45" s="449"/>
      <c r="GR45" s="449"/>
      <c r="GS45" s="449"/>
      <c r="GT45" s="449"/>
      <c r="GU45" s="449"/>
      <c r="GV45" s="449"/>
      <c r="GW45" s="449"/>
      <c r="GX45" s="449"/>
      <c r="GY45" s="449"/>
      <c r="GZ45" s="449"/>
      <c r="HA45" s="449"/>
      <c r="HB45" s="449"/>
      <c r="HC45" s="449"/>
      <c r="HD45" s="449"/>
      <c r="HE45" s="449"/>
      <c r="HF45" s="449"/>
      <c r="HG45" s="449"/>
      <c r="HH45" s="449"/>
      <c r="HI45" s="449"/>
      <c r="HJ45" s="449"/>
      <c r="HK45" s="449"/>
      <c r="HL45" s="449"/>
      <c r="HM45" s="449"/>
      <c r="HN45" s="449"/>
      <c r="HO45" s="449"/>
      <c r="HP45" s="449"/>
      <c r="HQ45" s="449"/>
      <c r="HR45" s="449"/>
      <c r="HS45" s="449"/>
      <c r="HT45" s="449"/>
      <c r="HU45" s="449"/>
      <c r="HV45" s="449"/>
      <c r="HW45" s="449"/>
      <c r="HX45" s="449"/>
      <c r="HY45" s="449"/>
      <c r="HZ45" s="449"/>
      <c r="IA45" s="449"/>
      <c r="IB45" s="449"/>
      <c r="IC45" s="449"/>
      <c r="ID45" s="449"/>
      <c r="IE45" s="449"/>
      <c r="IF45" s="449"/>
      <c r="IG45" s="449"/>
      <c r="IH45" s="449"/>
      <c r="II45" s="449"/>
      <c r="IJ45" s="449"/>
      <c r="IK45" s="449"/>
      <c r="IL45" s="449"/>
      <c r="IM45" s="449"/>
      <c r="IN45" s="449"/>
      <c r="IO45" s="449"/>
      <c r="IP45" s="449"/>
      <c r="IQ45" s="449"/>
      <c r="IR45" s="449"/>
      <c r="IS45" s="449"/>
      <c r="IT45" s="449"/>
      <c r="IU45" s="449"/>
      <c r="IV45" s="449"/>
    </row>
    <row r="46" spans="1:256" ht="12" customHeight="1">
      <c r="A46" s="445"/>
      <c r="B46" s="449"/>
      <c r="C46" s="449"/>
      <c r="D46" s="690" t="s">
        <v>14</v>
      </c>
      <c r="E46" s="442"/>
      <c r="F46" s="690" t="s">
        <v>14</v>
      </c>
      <c r="G46" s="442"/>
      <c r="H46" s="690" t="s">
        <v>14</v>
      </c>
      <c r="I46" s="442"/>
      <c r="J46" s="443" t="s">
        <v>14</v>
      </c>
      <c r="K46" s="442"/>
      <c r="L46" s="690" t="s">
        <v>14</v>
      </c>
      <c r="M46" s="456"/>
      <c r="N46" s="449"/>
      <c r="O46" s="455"/>
      <c r="P46" s="462"/>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49"/>
      <c r="DV46" s="449"/>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row>
    <row r="47" spans="1:256" ht="3" customHeight="1">
      <c r="A47" s="445"/>
      <c r="B47" s="449"/>
      <c r="C47" s="449"/>
      <c r="D47" s="697"/>
      <c r="E47" s="697"/>
      <c r="F47" s="697"/>
      <c r="G47" s="697"/>
      <c r="H47" s="697"/>
      <c r="I47" s="697"/>
      <c r="J47" s="697"/>
      <c r="K47" s="697"/>
      <c r="L47" s="697"/>
      <c r="M47" s="456"/>
      <c r="N47" s="449"/>
      <c r="O47" s="455"/>
      <c r="P47" s="462"/>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49"/>
      <c r="DP47" s="449"/>
      <c r="DQ47" s="449"/>
      <c r="DR47" s="449"/>
      <c r="DS47" s="449"/>
      <c r="DT47" s="449"/>
      <c r="DU47" s="449"/>
      <c r="DV47" s="449"/>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49"/>
      <c r="GD47" s="449"/>
      <c r="GE47" s="449"/>
      <c r="GF47" s="449"/>
      <c r="GG47" s="449"/>
      <c r="GH47" s="449"/>
      <c r="GI47" s="449"/>
      <c r="GJ47" s="449"/>
      <c r="GK47" s="449"/>
      <c r="GL47" s="449"/>
      <c r="GM47" s="449"/>
      <c r="GN47" s="449"/>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row>
    <row r="48" spans="1:256" ht="18" thickBot="1">
      <c r="A48" s="445" t="s">
        <v>1108</v>
      </c>
      <c r="B48" s="449"/>
      <c r="C48" s="467"/>
      <c r="D48" s="698">
        <f>ROUND(D17+D25+D45,3)</f>
        <v>3778.0680000000002</v>
      </c>
      <c r="E48" s="699"/>
      <c r="F48" s="698">
        <f>ROUND(F17+F25+F45,3)</f>
        <v>9168.3790000000008</v>
      </c>
      <c r="G48" s="699"/>
      <c r="H48" s="698">
        <f>ROUND(H17+H25+H45,3)</f>
        <v>8918.3060000000005</v>
      </c>
      <c r="I48" s="700"/>
      <c r="J48" s="698">
        <f>ROUND(J17+J25+J45,3)</f>
        <v>0</v>
      </c>
      <c r="K48" s="699"/>
      <c r="L48" s="698">
        <f>ROUND(L17+L25+L45,3)</f>
        <v>4028.1410000000001</v>
      </c>
      <c r="M48" s="457"/>
      <c r="N48" s="460"/>
      <c r="O48" s="455"/>
      <c r="P48" s="462"/>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row>
    <row r="49" spans="1:256" ht="12" customHeight="1" thickTop="1">
      <c r="A49" s="449"/>
      <c r="B49" s="449"/>
      <c r="C49" s="449"/>
      <c r="D49" s="701" t="s">
        <v>14</v>
      </c>
      <c r="E49" s="684"/>
      <c r="F49" s="701" t="s">
        <v>14</v>
      </c>
      <c r="G49" s="684"/>
      <c r="H49" s="701" t="s">
        <v>14</v>
      </c>
      <c r="I49" s="684"/>
      <c r="J49" s="683" t="s">
        <v>14</v>
      </c>
      <c r="K49" s="684"/>
      <c r="L49" s="701" t="s">
        <v>14</v>
      </c>
      <c r="M49" s="456"/>
      <c r="N49" s="449"/>
      <c r="O49" s="462"/>
      <c r="P49" s="462"/>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row>
    <row r="50" spans="1:256" ht="15.75" customHeight="1">
      <c r="A50" s="702"/>
      <c r="B50" s="449"/>
      <c r="C50" s="449"/>
      <c r="D50" s="449"/>
      <c r="E50" s="449"/>
      <c r="F50" s="449"/>
      <c r="G50" s="449"/>
      <c r="H50" s="449"/>
      <c r="I50" s="449"/>
      <c r="J50" s="449" t="s">
        <v>14</v>
      </c>
      <c r="K50" s="449"/>
      <c r="L50" s="449"/>
      <c r="M50" s="449"/>
      <c r="N50" s="449"/>
      <c r="O50" s="462"/>
      <c r="P50" s="462"/>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49"/>
      <c r="DV50" s="449"/>
      <c r="DW50" s="449"/>
      <c r="DX50" s="449"/>
      <c r="DY50" s="449"/>
      <c r="DZ50" s="449"/>
      <c r="EA50" s="449"/>
      <c r="EB50" s="449"/>
      <c r="EC50" s="449"/>
      <c r="ED50" s="449"/>
      <c r="EE50" s="449"/>
      <c r="EF50" s="449"/>
      <c r="EG50" s="449"/>
      <c r="EH50" s="449"/>
      <c r="EI50" s="449"/>
      <c r="EJ50" s="449"/>
      <c r="EK50" s="449"/>
      <c r="EL50" s="449"/>
      <c r="EM50" s="449"/>
      <c r="EN50" s="449"/>
      <c r="EO50" s="449"/>
      <c r="EP50" s="449"/>
      <c r="EQ50" s="449"/>
      <c r="ER50" s="449"/>
      <c r="ES50" s="449"/>
      <c r="ET50" s="449"/>
      <c r="EU50" s="449"/>
      <c r="EV50" s="449"/>
      <c r="EW50" s="449"/>
      <c r="EX50" s="449"/>
      <c r="EY50" s="449"/>
      <c r="EZ50" s="449"/>
      <c r="FA50" s="449"/>
      <c r="FB50" s="449"/>
      <c r="FC50" s="449"/>
      <c r="FD50" s="449"/>
      <c r="FE50" s="449"/>
      <c r="FF50" s="449"/>
      <c r="FG50" s="449"/>
      <c r="FH50" s="449"/>
      <c r="FI50" s="449"/>
      <c r="FJ50" s="449"/>
      <c r="FK50" s="449"/>
      <c r="FL50" s="449"/>
      <c r="FM50" s="449"/>
      <c r="FN50" s="449"/>
      <c r="FO50" s="449"/>
      <c r="FP50" s="449"/>
      <c r="FQ50" s="449"/>
      <c r="FR50" s="449"/>
      <c r="FS50" s="449"/>
      <c r="FT50" s="449"/>
      <c r="FU50" s="449"/>
      <c r="FV50" s="449"/>
      <c r="FW50" s="449"/>
      <c r="FX50" s="449"/>
      <c r="FY50" s="449"/>
      <c r="FZ50" s="449"/>
      <c r="GA50" s="449"/>
      <c r="GB50" s="449"/>
      <c r="GC50" s="449"/>
      <c r="GD50" s="449"/>
      <c r="GE50" s="449"/>
      <c r="GF50" s="449"/>
      <c r="GG50" s="449"/>
      <c r="GH50" s="449"/>
      <c r="GI50" s="449"/>
      <c r="GJ50" s="449"/>
      <c r="GK50" s="449"/>
      <c r="GL50" s="449"/>
      <c r="GM50" s="449"/>
      <c r="GN50" s="449"/>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row>
    <row r="51" spans="1:256" ht="17.399999999999999">
      <c r="A51" s="449"/>
      <c r="B51" s="449"/>
      <c r="C51" s="449"/>
      <c r="D51" s="460"/>
      <c r="E51" s="449"/>
      <c r="F51" s="1674" t="s">
        <v>14</v>
      </c>
      <c r="G51" s="449"/>
      <c r="H51" s="449"/>
      <c r="I51" s="449"/>
      <c r="J51" s="449" t="s">
        <v>14</v>
      </c>
      <c r="K51" s="449"/>
      <c r="L51" s="463"/>
      <c r="M51" s="449"/>
      <c r="N51" s="449"/>
      <c r="O51" s="462"/>
      <c r="P51" s="462"/>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c r="CQ51" s="449"/>
      <c r="CR51" s="449"/>
      <c r="CS51" s="449"/>
      <c r="CT51" s="449"/>
      <c r="CU51" s="449"/>
      <c r="CV51" s="449"/>
      <c r="CW51" s="449"/>
      <c r="CX51" s="449"/>
      <c r="CY51" s="449"/>
      <c r="CZ51" s="449"/>
      <c r="DA51" s="449"/>
      <c r="DB51" s="449"/>
      <c r="DC51" s="449"/>
      <c r="DD51" s="449"/>
      <c r="DE51" s="449"/>
      <c r="DF51" s="449"/>
      <c r="DG51" s="449"/>
      <c r="DH51" s="449"/>
      <c r="DI51" s="449"/>
      <c r="DJ51" s="449"/>
      <c r="DK51" s="449"/>
      <c r="DL51" s="449"/>
      <c r="DM51" s="449"/>
      <c r="DN51" s="449"/>
      <c r="DO51" s="449"/>
      <c r="DP51" s="449"/>
      <c r="DQ51" s="449"/>
      <c r="DR51" s="449"/>
      <c r="DS51" s="449"/>
      <c r="DT51" s="449"/>
      <c r="DU51" s="449"/>
      <c r="DV51" s="449"/>
      <c r="DW51" s="449"/>
      <c r="DX51" s="449"/>
      <c r="DY51" s="449"/>
      <c r="DZ51" s="449"/>
      <c r="EA51" s="449"/>
      <c r="EB51" s="449"/>
      <c r="EC51" s="449"/>
      <c r="ED51" s="449"/>
      <c r="EE51" s="449"/>
      <c r="EF51" s="449"/>
      <c r="EG51" s="449"/>
      <c r="EH51" s="449"/>
      <c r="EI51" s="449"/>
      <c r="EJ51" s="449"/>
      <c r="EK51" s="449"/>
      <c r="EL51" s="449"/>
      <c r="EM51" s="449"/>
      <c r="EN51" s="449"/>
      <c r="EO51" s="449"/>
      <c r="EP51" s="449"/>
      <c r="EQ51" s="449"/>
      <c r="ER51" s="449"/>
      <c r="ES51" s="449"/>
      <c r="ET51" s="449"/>
      <c r="EU51" s="449"/>
      <c r="EV51" s="449"/>
      <c r="EW51" s="449"/>
      <c r="EX51" s="449"/>
      <c r="EY51" s="449"/>
      <c r="EZ51" s="449"/>
      <c r="FA51" s="449"/>
      <c r="FB51" s="449"/>
      <c r="FC51" s="449"/>
      <c r="FD51" s="449"/>
      <c r="FE51" s="449"/>
      <c r="FF51" s="449"/>
      <c r="FG51" s="449"/>
      <c r="FH51" s="449"/>
      <c r="FI51" s="449"/>
      <c r="FJ51" s="449"/>
      <c r="FK51" s="449"/>
      <c r="FL51" s="449"/>
      <c r="FM51" s="449"/>
      <c r="FN51" s="449"/>
      <c r="FO51" s="449"/>
      <c r="FP51" s="449"/>
      <c r="FQ51" s="449"/>
      <c r="FR51" s="449"/>
      <c r="FS51" s="449"/>
      <c r="FT51" s="449"/>
      <c r="FU51" s="449"/>
      <c r="FV51" s="449"/>
      <c r="FW51" s="449"/>
      <c r="FX51" s="449"/>
      <c r="FY51" s="449"/>
      <c r="FZ51" s="449"/>
      <c r="GA51" s="449"/>
      <c r="GB51" s="449"/>
      <c r="GC51" s="449"/>
      <c r="GD51" s="449"/>
      <c r="GE51" s="449"/>
      <c r="GF51" s="449"/>
      <c r="GG51" s="449"/>
      <c r="GH51" s="449"/>
      <c r="GI51" s="449"/>
      <c r="GJ51" s="449"/>
      <c r="GK51" s="449"/>
      <c r="GL51" s="449"/>
      <c r="GM51" s="449"/>
      <c r="GN51" s="449"/>
      <c r="GO51" s="449"/>
      <c r="GP51" s="449"/>
      <c r="GQ51" s="449"/>
      <c r="GR51" s="449"/>
      <c r="GS51" s="449"/>
      <c r="GT51" s="449"/>
      <c r="GU51" s="449"/>
      <c r="GV51" s="449"/>
      <c r="GW51" s="449"/>
      <c r="GX51" s="449"/>
      <c r="GY51" s="449"/>
      <c r="GZ51" s="449"/>
      <c r="HA51" s="449"/>
      <c r="HB51" s="449"/>
      <c r="HC51" s="449"/>
      <c r="HD51" s="449"/>
      <c r="HE51" s="449"/>
      <c r="HF51" s="449"/>
      <c r="HG51" s="449"/>
      <c r="HH51" s="449"/>
      <c r="HI51" s="449"/>
      <c r="HJ51" s="449"/>
      <c r="HK51" s="449"/>
      <c r="HL51" s="449"/>
      <c r="HM51" s="449"/>
      <c r="HN51" s="449"/>
      <c r="HO51" s="449"/>
      <c r="HP51" s="449"/>
      <c r="HQ51" s="449"/>
      <c r="HR51" s="449"/>
      <c r="HS51" s="449"/>
      <c r="HT51" s="449"/>
      <c r="HU51" s="449"/>
      <c r="HV51" s="449"/>
      <c r="HW51" s="449"/>
      <c r="HX51" s="449"/>
      <c r="HY51" s="449"/>
      <c r="HZ51" s="449"/>
      <c r="IA51" s="449"/>
      <c r="IB51" s="449"/>
      <c r="IC51" s="449"/>
      <c r="ID51" s="449"/>
      <c r="IE51" s="449"/>
      <c r="IF51" s="449"/>
      <c r="IG51" s="449"/>
      <c r="IH51" s="449"/>
      <c r="II51" s="449"/>
      <c r="IJ51" s="449"/>
      <c r="IK51" s="449"/>
      <c r="IL51" s="449"/>
      <c r="IM51" s="449"/>
      <c r="IN51" s="449"/>
      <c r="IO51" s="449"/>
      <c r="IP51" s="449"/>
      <c r="IQ51" s="449"/>
      <c r="IR51" s="449"/>
      <c r="IS51" s="449"/>
      <c r="IT51" s="449"/>
      <c r="IU51" s="449"/>
      <c r="IV51" s="449"/>
    </row>
    <row r="52" spans="1:256" ht="17.399999999999999">
      <c r="A52" s="460"/>
      <c r="B52" s="449"/>
      <c r="C52" s="449"/>
      <c r="D52" s="449"/>
      <c r="E52" s="449"/>
      <c r="F52" s="449"/>
      <c r="G52" s="449"/>
      <c r="H52" s="449"/>
      <c r="I52" s="449"/>
      <c r="J52" s="449" t="s">
        <v>14</v>
      </c>
      <c r="K52" s="449"/>
      <c r="L52" s="449"/>
      <c r="M52" s="449"/>
      <c r="N52" s="449"/>
      <c r="O52" s="462"/>
      <c r="P52" s="462"/>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c r="CQ52" s="449"/>
      <c r="CR52" s="449"/>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449"/>
      <c r="DV52" s="449"/>
      <c r="DW52" s="449"/>
      <c r="DX52" s="449"/>
      <c r="DY52" s="449"/>
      <c r="DZ52" s="449"/>
      <c r="EA52" s="449"/>
      <c r="EB52" s="449"/>
      <c r="EC52" s="449"/>
      <c r="ED52" s="449"/>
      <c r="EE52" s="449"/>
      <c r="EF52" s="449"/>
      <c r="EG52" s="449"/>
      <c r="EH52" s="449"/>
      <c r="EI52" s="449"/>
      <c r="EJ52" s="449"/>
      <c r="EK52" s="449"/>
      <c r="EL52" s="449"/>
      <c r="EM52" s="449"/>
      <c r="EN52" s="449"/>
      <c r="EO52" s="449"/>
      <c r="EP52" s="449"/>
      <c r="EQ52" s="449"/>
      <c r="ER52" s="449"/>
      <c r="ES52" s="449"/>
      <c r="ET52" s="449"/>
      <c r="EU52" s="449"/>
      <c r="EV52" s="449"/>
      <c r="EW52" s="449"/>
      <c r="EX52" s="449"/>
      <c r="EY52" s="449"/>
      <c r="EZ52" s="449"/>
      <c r="FA52" s="449"/>
      <c r="FB52" s="449"/>
      <c r="FC52" s="449"/>
      <c r="FD52" s="449"/>
      <c r="FE52" s="449"/>
      <c r="FF52" s="449"/>
      <c r="FG52" s="449"/>
      <c r="FH52" s="449"/>
      <c r="FI52" s="449"/>
      <c r="FJ52" s="449"/>
      <c r="FK52" s="449"/>
      <c r="FL52" s="449"/>
      <c r="FM52" s="449"/>
      <c r="FN52" s="449"/>
      <c r="FO52" s="449"/>
      <c r="FP52" s="449"/>
      <c r="FQ52" s="449"/>
      <c r="FR52" s="449"/>
      <c r="FS52" s="449"/>
      <c r="FT52" s="449"/>
      <c r="FU52" s="449"/>
      <c r="FV52" s="449"/>
      <c r="FW52" s="449"/>
      <c r="FX52" s="449"/>
      <c r="FY52" s="449"/>
      <c r="FZ52" s="449"/>
      <c r="GA52" s="449"/>
      <c r="GB52" s="449"/>
      <c r="GC52" s="449"/>
      <c r="GD52" s="449"/>
      <c r="GE52" s="449"/>
      <c r="GF52" s="449"/>
      <c r="GG52" s="449"/>
      <c r="GH52" s="449"/>
      <c r="GI52" s="449"/>
      <c r="GJ52" s="449"/>
      <c r="GK52" s="449"/>
      <c r="GL52" s="449"/>
      <c r="GM52" s="449"/>
      <c r="GN52" s="449"/>
      <c r="GO52" s="449"/>
      <c r="GP52" s="449"/>
      <c r="GQ52" s="449"/>
      <c r="GR52" s="449"/>
      <c r="GS52" s="449"/>
      <c r="GT52" s="449"/>
      <c r="GU52" s="449"/>
      <c r="GV52" s="449"/>
      <c r="GW52" s="449"/>
      <c r="GX52" s="449"/>
      <c r="GY52" s="449"/>
      <c r="GZ52" s="449"/>
      <c r="HA52" s="449"/>
      <c r="HB52" s="449"/>
      <c r="HC52" s="449"/>
      <c r="HD52" s="449"/>
      <c r="HE52" s="449"/>
      <c r="HF52" s="449"/>
      <c r="HG52" s="449"/>
      <c r="HH52" s="449"/>
      <c r="HI52" s="449"/>
      <c r="HJ52" s="449"/>
      <c r="HK52" s="449"/>
      <c r="HL52" s="449"/>
      <c r="HM52" s="449"/>
      <c r="HN52" s="449"/>
      <c r="HO52" s="449"/>
      <c r="HP52" s="449"/>
      <c r="HQ52" s="449"/>
      <c r="HR52" s="449"/>
      <c r="HS52" s="449"/>
      <c r="HT52" s="449"/>
      <c r="HU52" s="449"/>
      <c r="HV52" s="449"/>
      <c r="HW52" s="449"/>
      <c r="HX52" s="449"/>
      <c r="HY52" s="449"/>
      <c r="HZ52" s="449"/>
      <c r="IA52" s="449"/>
      <c r="IB52" s="449"/>
      <c r="IC52" s="449"/>
      <c r="ID52" s="449"/>
      <c r="IE52" s="449"/>
      <c r="IF52" s="449"/>
      <c r="IG52" s="449"/>
      <c r="IH52" s="449"/>
      <c r="II52" s="449"/>
      <c r="IJ52" s="449"/>
      <c r="IK52" s="449"/>
      <c r="IL52" s="449"/>
      <c r="IM52" s="449"/>
      <c r="IN52" s="449"/>
      <c r="IO52" s="449"/>
      <c r="IP52" s="449"/>
      <c r="IQ52" s="449"/>
      <c r="IR52" s="449"/>
      <c r="IS52" s="449"/>
      <c r="IT52" s="449"/>
      <c r="IU52" s="449"/>
      <c r="IV52" s="449"/>
    </row>
    <row r="53" spans="1:256" ht="17.399999999999999">
      <c r="A53" s="460"/>
      <c r="B53" s="449"/>
      <c r="C53" s="449"/>
      <c r="D53" s="449"/>
      <c r="E53" s="449"/>
      <c r="F53" s="449"/>
      <c r="G53" s="449"/>
      <c r="H53" s="449"/>
      <c r="I53" s="449"/>
      <c r="J53" s="449"/>
      <c r="K53" s="449"/>
      <c r="L53" s="449"/>
      <c r="M53" s="449"/>
      <c r="N53" s="449"/>
      <c r="O53" s="462"/>
      <c r="P53" s="462"/>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49"/>
      <c r="EU53" s="449"/>
      <c r="EV53" s="449"/>
      <c r="EW53" s="449"/>
      <c r="EX53" s="449"/>
      <c r="EY53" s="449"/>
      <c r="EZ53" s="449"/>
      <c r="FA53" s="449"/>
      <c r="FB53" s="449"/>
      <c r="FC53" s="449"/>
      <c r="FD53" s="449"/>
      <c r="FE53" s="449"/>
      <c r="FF53" s="449"/>
      <c r="FG53" s="449"/>
      <c r="FH53" s="449"/>
      <c r="FI53" s="449"/>
      <c r="FJ53" s="449"/>
      <c r="FK53" s="449"/>
      <c r="FL53" s="449"/>
      <c r="FM53" s="449"/>
      <c r="FN53" s="449"/>
      <c r="FO53" s="449"/>
      <c r="FP53" s="449"/>
      <c r="FQ53" s="449"/>
      <c r="FR53" s="449"/>
      <c r="FS53" s="449"/>
      <c r="FT53" s="449"/>
      <c r="FU53" s="449"/>
      <c r="FV53" s="449"/>
      <c r="FW53" s="449"/>
      <c r="FX53" s="449"/>
      <c r="FY53" s="449"/>
      <c r="FZ53" s="449"/>
      <c r="GA53" s="449"/>
      <c r="GB53" s="449"/>
      <c r="GC53" s="449"/>
      <c r="GD53" s="449"/>
      <c r="GE53" s="449"/>
      <c r="GF53" s="449"/>
      <c r="GG53" s="449"/>
      <c r="GH53" s="449"/>
      <c r="GI53" s="449"/>
      <c r="GJ53" s="449"/>
      <c r="GK53" s="449"/>
      <c r="GL53" s="449"/>
      <c r="GM53" s="449"/>
      <c r="GN53" s="449"/>
      <c r="GO53" s="449"/>
      <c r="GP53" s="449"/>
      <c r="GQ53" s="449"/>
      <c r="GR53" s="449"/>
      <c r="GS53" s="449"/>
      <c r="GT53" s="449"/>
      <c r="GU53" s="449"/>
      <c r="GV53" s="449"/>
      <c r="GW53" s="449"/>
      <c r="GX53" s="449"/>
      <c r="GY53" s="449"/>
      <c r="GZ53" s="449"/>
      <c r="HA53" s="449"/>
      <c r="HB53" s="449"/>
      <c r="HC53" s="449"/>
      <c r="HD53" s="449"/>
      <c r="HE53" s="449"/>
      <c r="HF53" s="449"/>
      <c r="HG53" s="449"/>
      <c r="HH53" s="449"/>
      <c r="HI53" s="449"/>
      <c r="HJ53" s="449"/>
      <c r="HK53" s="449"/>
      <c r="HL53" s="449"/>
      <c r="HM53" s="449"/>
      <c r="HN53" s="449"/>
      <c r="HO53" s="449"/>
      <c r="HP53" s="449"/>
      <c r="HQ53" s="449"/>
      <c r="HR53" s="449"/>
      <c r="HS53" s="449"/>
      <c r="HT53" s="449"/>
      <c r="HU53" s="449"/>
      <c r="HV53" s="449"/>
      <c r="HW53" s="449"/>
      <c r="HX53" s="449"/>
      <c r="HY53" s="449"/>
      <c r="HZ53" s="449"/>
      <c r="IA53" s="449"/>
      <c r="IB53" s="449"/>
      <c r="IC53" s="449"/>
      <c r="ID53" s="449"/>
      <c r="IE53" s="449"/>
      <c r="IF53" s="449"/>
      <c r="IG53" s="449"/>
      <c r="IH53" s="449"/>
      <c r="II53" s="449"/>
      <c r="IJ53" s="449"/>
      <c r="IK53" s="449"/>
      <c r="IL53" s="449"/>
      <c r="IM53" s="449"/>
      <c r="IN53" s="449"/>
      <c r="IO53" s="449"/>
      <c r="IP53" s="449"/>
      <c r="IQ53" s="449"/>
      <c r="IR53" s="449"/>
      <c r="IS53" s="449"/>
      <c r="IT53" s="449"/>
      <c r="IU53" s="449"/>
      <c r="IV53" s="449"/>
    </row>
    <row r="54" spans="1:256" ht="17.399999999999999">
      <c r="A54" s="460"/>
      <c r="B54" s="449"/>
      <c r="C54" s="449"/>
      <c r="D54" s="449"/>
      <c r="E54" s="449"/>
      <c r="F54" s="449"/>
      <c r="G54" s="449"/>
      <c r="H54" s="449"/>
      <c r="I54" s="449"/>
      <c r="J54" s="449"/>
      <c r="K54" s="449"/>
      <c r="L54" s="449"/>
      <c r="M54" s="449"/>
      <c r="N54" s="449"/>
      <c r="O54" s="462"/>
      <c r="P54" s="462"/>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449"/>
      <c r="EL54" s="449"/>
      <c r="EM54" s="449"/>
      <c r="EN54" s="449"/>
      <c r="EO54" s="449"/>
      <c r="EP54" s="449"/>
      <c r="EQ54" s="449"/>
      <c r="ER54" s="449"/>
      <c r="ES54" s="449"/>
      <c r="ET54" s="449"/>
      <c r="EU54" s="449"/>
      <c r="EV54" s="449"/>
      <c r="EW54" s="449"/>
      <c r="EX54" s="449"/>
      <c r="EY54" s="449"/>
      <c r="EZ54" s="449"/>
      <c r="FA54" s="449"/>
      <c r="FB54" s="449"/>
      <c r="FC54" s="449"/>
      <c r="FD54" s="449"/>
      <c r="FE54" s="449"/>
      <c r="FF54" s="449"/>
      <c r="FG54" s="449"/>
      <c r="FH54" s="449"/>
      <c r="FI54" s="449"/>
      <c r="FJ54" s="449"/>
      <c r="FK54" s="449"/>
      <c r="FL54" s="449"/>
      <c r="FM54" s="449"/>
      <c r="FN54" s="449"/>
      <c r="FO54" s="449"/>
      <c r="FP54" s="449"/>
      <c r="FQ54" s="449"/>
      <c r="FR54" s="449"/>
      <c r="FS54" s="449"/>
      <c r="FT54" s="449"/>
      <c r="FU54" s="449"/>
      <c r="FV54" s="449"/>
      <c r="FW54" s="449"/>
      <c r="FX54" s="449"/>
      <c r="FY54" s="449"/>
      <c r="FZ54" s="449"/>
      <c r="GA54" s="449"/>
      <c r="GB54" s="449"/>
      <c r="GC54" s="449"/>
      <c r="GD54" s="449"/>
      <c r="GE54" s="449"/>
      <c r="GF54" s="449"/>
      <c r="GG54" s="449"/>
      <c r="GH54" s="449"/>
      <c r="GI54" s="449"/>
      <c r="GJ54" s="449"/>
      <c r="GK54" s="449"/>
      <c r="GL54" s="449"/>
      <c r="GM54" s="449"/>
      <c r="GN54" s="449"/>
      <c r="GO54" s="449"/>
      <c r="GP54" s="449"/>
      <c r="GQ54" s="449"/>
      <c r="GR54" s="449"/>
      <c r="GS54" s="449"/>
      <c r="GT54" s="449"/>
      <c r="GU54" s="449"/>
      <c r="GV54" s="449"/>
      <c r="GW54" s="449"/>
      <c r="GX54" s="449"/>
      <c r="GY54" s="449"/>
      <c r="GZ54" s="449"/>
      <c r="HA54" s="449"/>
      <c r="HB54" s="449"/>
      <c r="HC54" s="449"/>
      <c r="HD54" s="449"/>
      <c r="HE54" s="449"/>
      <c r="HF54" s="449"/>
      <c r="HG54" s="449"/>
      <c r="HH54" s="449"/>
      <c r="HI54" s="449"/>
      <c r="HJ54" s="449"/>
      <c r="HK54" s="449"/>
      <c r="HL54" s="449"/>
      <c r="HM54" s="449"/>
      <c r="HN54" s="449"/>
      <c r="HO54" s="449"/>
      <c r="HP54" s="449"/>
      <c r="HQ54" s="449"/>
      <c r="HR54" s="449"/>
      <c r="HS54" s="449"/>
      <c r="HT54" s="449"/>
      <c r="HU54" s="449"/>
      <c r="HV54" s="449"/>
      <c r="HW54" s="449"/>
      <c r="HX54" s="449"/>
      <c r="HY54" s="449"/>
      <c r="HZ54" s="449"/>
      <c r="IA54" s="449"/>
      <c r="IB54" s="449"/>
      <c r="IC54" s="449"/>
      <c r="ID54" s="449"/>
      <c r="IE54" s="449"/>
      <c r="IF54" s="449"/>
      <c r="IG54" s="449"/>
      <c r="IH54" s="449"/>
      <c r="II54" s="449"/>
      <c r="IJ54" s="449"/>
      <c r="IK54" s="449"/>
      <c r="IL54" s="449"/>
      <c r="IM54" s="449"/>
      <c r="IN54" s="449"/>
      <c r="IO54" s="449"/>
      <c r="IP54" s="449"/>
      <c r="IQ54" s="449"/>
      <c r="IR54" s="449"/>
      <c r="IS54" s="449"/>
      <c r="IT54" s="449"/>
      <c r="IU54" s="449"/>
      <c r="IV54" s="449"/>
    </row>
    <row r="55" spans="1:256" ht="17.399999999999999">
      <c r="A55" s="460"/>
      <c r="B55" s="449"/>
      <c r="C55" s="449"/>
      <c r="D55" s="449"/>
      <c r="E55" s="449"/>
      <c r="F55" s="449"/>
      <c r="G55" s="449"/>
      <c r="H55" s="449"/>
      <c r="I55" s="449"/>
      <c r="J55" s="449"/>
      <c r="K55" s="449"/>
      <c r="L55" s="449"/>
      <c r="M55" s="449"/>
      <c r="N55" s="449"/>
      <c r="O55" s="462"/>
      <c r="P55" s="462"/>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49"/>
      <c r="EE55" s="449"/>
      <c r="EF55" s="449"/>
      <c r="EG55" s="449"/>
      <c r="EH55" s="449"/>
      <c r="EI55" s="449"/>
      <c r="EJ55" s="449"/>
      <c r="EK55" s="449"/>
      <c r="EL55" s="449"/>
      <c r="EM55" s="449"/>
      <c r="EN55" s="449"/>
      <c r="EO55" s="449"/>
      <c r="EP55" s="449"/>
      <c r="EQ55" s="449"/>
      <c r="ER55" s="449"/>
      <c r="ES55" s="449"/>
      <c r="ET55" s="449"/>
      <c r="EU55" s="449"/>
      <c r="EV55" s="449"/>
      <c r="EW55" s="449"/>
      <c r="EX55" s="449"/>
      <c r="EY55" s="449"/>
      <c r="EZ55" s="449"/>
      <c r="FA55" s="449"/>
      <c r="FB55" s="449"/>
      <c r="FC55" s="449"/>
      <c r="FD55" s="449"/>
      <c r="FE55" s="449"/>
      <c r="FF55" s="449"/>
      <c r="FG55" s="449"/>
      <c r="FH55" s="449"/>
      <c r="FI55" s="449"/>
      <c r="FJ55" s="449"/>
      <c r="FK55" s="449"/>
      <c r="FL55" s="449"/>
      <c r="FM55" s="449"/>
      <c r="FN55" s="449"/>
      <c r="FO55" s="449"/>
      <c r="FP55" s="449"/>
      <c r="FQ55" s="449"/>
      <c r="FR55" s="449"/>
      <c r="FS55" s="449"/>
      <c r="FT55" s="449"/>
      <c r="FU55" s="449"/>
      <c r="FV55" s="449"/>
      <c r="FW55" s="449"/>
      <c r="FX55" s="449"/>
      <c r="FY55" s="449"/>
      <c r="FZ55" s="449"/>
      <c r="GA55" s="449"/>
      <c r="GB55" s="449"/>
      <c r="GC55" s="449"/>
      <c r="GD55" s="449"/>
      <c r="GE55" s="449"/>
      <c r="GF55" s="449"/>
      <c r="GG55" s="449"/>
      <c r="GH55" s="449"/>
      <c r="GI55" s="449"/>
      <c r="GJ55" s="449"/>
      <c r="GK55" s="449"/>
      <c r="GL55" s="449"/>
      <c r="GM55" s="449"/>
      <c r="GN55" s="449"/>
      <c r="GO55" s="449"/>
      <c r="GP55" s="449"/>
      <c r="GQ55" s="449"/>
      <c r="GR55" s="449"/>
      <c r="GS55" s="449"/>
      <c r="GT55" s="449"/>
      <c r="GU55" s="449"/>
      <c r="GV55" s="449"/>
      <c r="GW55" s="449"/>
      <c r="GX55" s="449"/>
      <c r="GY55" s="449"/>
      <c r="GZ55" s="449"/>
      <c r="HA55" s="449"/>
      <c r="HB55" s="449"/>
      <c r="HC55" s="449"/>
      <c r="HD55" s="449"/>
      <c r="HE55" s="449"/>
      <c r="HF55" s="449"/>
      <c r="HG55" s="449"/>
      <c r="HH55" s="449"/>
      <c r="HI55" s="449"/>
      <c r="HJ55" s="449"/>
      <c r="HK55" s="449"/>
      <c r="HL55" s="449"/>
      <c r="HM55" s="449"/>
      <c r="HN55" s="449"/>
      <c r="HO55" s="449"/>
      <c r="HP55" s="449"/>
      <c r="HQ55" s="449"/>
      <c r="HR55" s="449"/>
      <c r="HS55" s="449"/>
      <c r="HT55" s="449"/>
      <c r="HU55" s="449"/>
      <c r="HV55" s="449"/>
      <c r="HW55" s="449"/>
      <c r="HX55" s="449"/>
      <c r="HY55" s="449"/>
      <c r="HZ55" s="449"/>
      <c r="IA55" s="449"/>
      <c r="IB55" s="449"/>
      <c r="IC55" s="449"/>
      <c r="ID55" s="449"/>
      <c r="IE55" s="449"/>
      <c r="IF55" s="449"/>
      <c r="IG55" s="449"/>
      <c r="IH55" s="449"/>
      <c r="II55" s="449"/>
      <c r="IJ55" s="449"/>
      <c r="IK55" s="449"/>
      <c r="IL55" s="449"/>
      <c r="IM55" s="449"/>
      <c r="IN55" s="449"/>
      <c r="IO55" s="449"/>
      <c r="IP55" s="449"/>
      <c r="IQ55" s="449"/>
      <c r="IR55" s="449"/>
      <c r="IS55" s="449"/>
      <c r="IT55" s="449"/>
      <c r="IU55" s="449"/>
      <c r="IV55" s="449"/>
    </row>
    <row r="56" spans="1:256" ht="17.399999999999999">
      <c r="A56" s="460"/>
      <c r="B56" s="449"/>
      <c r="C56" s="449"/>
      <c r="D56" s="449"/>
      <c r="E56" s="449"/>
      <c r="F56" s="449"/>
      <c r="G56" s="449"/>
      <c r="H56" s="449"/>
      <c r="I56" s="449"/>
      <c r="J56" s="449"/>
      <c r="K56" s="449"/>
      <c r="L56" s="449"/>
      <c r="M56" s="449"/>
      <c r="N56" s="449"/>
      <c r="O56" s="462"/>
      <c r="P56" s="462"/>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49"/>
      <c r="EE56" s="449"/>
      <c r="EF56" s="449"/>
      <c r="EG56" s="449"/>
      <c r="EH56" s="449"/>
      <c r="EI56" s="449"/>
      <c r="EJ56" s="449"/>
      <c r="EK56" s="449"/>
      <c r="EL56" s="449"/>
      <c r="EM56" s="449"/>
      <c r="EN56" s="449"/>
      <c r="EO56" s="449"/>
      <c r="EP56" s="449"/>
      <c r="EQ56" s="449"/>
      <c r="ER56" s="449"/>
      <c r="ES56" s="449"/>
      <c r="ET56" s="449"/>
      <c r="EU56" s="449"/>
      <c r="EV56" s="449"/>
      <c r="EW56" s="449"/>
      <c r="EX56" s="449"/>
      <c r="EY56" s="449"/>
      <c r="EZ56" s="449"/>
      <c r="FA56" s="449"/>
      <c r="FB56" s="449"/>
      <c r="FC56" s="449"/>
      <c r="FD56" s="449"/>
      <c r="FE56" s="449"/>
      <c r="FF56" s="449"/>
      <c r="FG56" s="449"/>
      <c r="FH56" s="449"/>
      <c r="FI56" s="449"/>
      <c r="FJ56" s="449"/>
      <c r="FK56" s="449"/>
      <c r="FL56" s="449"/>
      <c r="FM56" s="449"/>
      <c r="FN56" s="449"/>
      <c r="FO56" s="449"/>
      <c r="FP56" s="449"/>
      <c r="FQ56" s="449"/>
      <c r="FR56" s="449"/>
      <c r="FS56" s="449"/>
      <c r="FT56" s="449"/>
      <c r="FU56" s="449"/>
      <c r="FV56" s="449"/>
      <c r="FW56" s="449"/>
      <c r="FX56" s="449"/>
      <c r="FY56" s="449"/>
      <c r="FZ56" s="449"/>
      <c r="GA56" s="449"/>
      <c r="GB56" s="449"/>
      <c r="GC56" s="449"/>
      <c r="GD56" s="449"/>
      <c r="GE56" s="449"/>
      <c r="GF56" s="449"/>
      <c r="GG56" s="449"/>
      <c r="GH56" s="449"/>
      <c r="GI56" s="449"/>
      <c r="GJ56" s="449"/>
      <c r="GK56" s="449"/>
      <c r="GL56" s="449"/>
      <c r="GM56" s="449"/>
      <c r="GN56" s="449"/>
      <c r="GO56" s="449"/>
      <c r="GP56" s="449"/>
      <c r="GQ56" s="449"/>
      <c r="GR56" s="449"/>
      <c r="GS56" s="449"/>
      <c r="GT56" s="449"/>
      <c r="GU56" s="449"/>
      <c r="GV56" s="449"/>
      <c r="GW56" s="449"/>
      <c r="GX56" s="449"/>
      <c r="GY56" s="449"/>
      <c r="GZ56" s="449"/>
      <c r="HA56" s="449"/>
      <c r="HB56" s="449"/>
      <c r="HC56" s="449"/>
      <c r="HD56" s="449"/>
      <c r="HE56" s="449"/>
      <c r="HF56" s="449"/>
      <c r="HG56" s="449"/>
      <c r="HH56" s="449"/>
      <c r="HI56" s="449"/>
      <c r="HJ56" s="449"/>
      <c r="HK56" s="449"/>
      <c r="HL56" s="449"/>
      <c r="HM56" s="449"/>
      <c r="HN56" s="449"/>
      <c r="HO56" s="449"/>
      <c r="HP56" s="449"/>
      <c r="HQ56" s="449"/>
      <c r="HR56" s="449"/>
      <c r="HS56" s="449"/>
      <c r="HT56" s="449"/>
      <c r="HU56" s="449"/>
      <c r="HV56" s="449"/>
      <c r="HW56" s="449"/>
      <c r="HX56" s="449"/>
      <c r="HY56" s="449"/>
      <c r="HZ56" s="449"/>
      <c r="IA56" s="449"/>
      <c r="IB56" s="449"/>
      <c r="IC56" s="449"/>
      <c r="ID56" s="449"/>
      <c r="IE56" s="449"/>
      <c r="IF56" s="449"/>
      <c r="IG56" s="449"/>
      <c r="IH56" s="449"/>
      <c r="II56" s="449"/>
      <c r="IJ56" s="449"/>
      <c r="IK56" s="449"/>
      <c r="IL56" s="449"/>
      <c r="IM56" s="449"/>
      <c r="IN56" s="449"/>
      <c r="IO56" s="449"/>
      <c r="IP56" s="449"/>
      <c r="IQ56" s="449"/>
      <c r="IR56" s="449"/>
      <c r="IS56" s="449"/>
      <c r="IT56" s="449"/>
      <c r="IU56" s="449"/>
      <c r="IV56" s="449"/>
    </row>
    <row r="57" spans="1:256" ht="17.399999999999999">
      <c r="A57" s="449"/>
      <c r="B57" s="449"/>
      <c r="C57" s="449"/>
      <c r="D57" s="449"/>
      <c r="E57" s="449"/>
      <c r="F57" s="449"/>
      <c r="G57" s="449"/>
      <c r="H57" s="449"/>
      <c r="I57" s="449"/>
      <c r="J57" s="449"/>
      <c r="K57" s="449"/>
      <c r="L57" s="449"/>
      <c r="M57" s="449"/>
      <c r="N57" s="449"/>
      <c r="O57" s="462"/>
      <c r="P57" s="462"/>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49"/>
      <c r="EU57" s="449"/>
      <c r="EV57" s="449"/>
      <c r="EW57" s="449"/>
      <c r="EX57" s="449"/>
      <c r="EY57" s="449"/>
      <c r="EZ57" s="449"/>
      <c r="FA57" s="449"/>
      <c r="FB57" s="449"/>
      <c r="FC57" s="449"/>
      <c r="FD57" s="449"/>
      <c r="FE57" s="449"/>
      <c r="FF57" s="449"/>
      <c r="FG57" s="449"/>
      <c r="FH57" s="449"/>
      <c r="FI57" s="449"/>
      <c r="FJ57" s="449"/>
      <c r="FK57" s="449"/>
      <c r="FL57" s="449"/>
      <c r="FM57" s="449"/>
      <c r="FN57" s="449"/>
      <c r="FO57" s="449"/>
      <c r="FP57" s="449"/>
      <c r="FQ57" s="449"/>
      <c r="FR57" s="449"/>
      <c r="FS57" s="449"/>
      <c r="FT57" s="449"/>
      <c r="FU57" s="449"/>
      <c r="FV57" s="449"/>
      <c r="FW57" s="449"/>
      <c r="FX57" s="449"/>
      <c r="FY57" s="449"/>
      <c r="FZ57" s="449"/>
      <c r="GA57" s="449"/>
      <c r="GB57" s="449"/>
      <c r="GC57" s="449"/>
      <c r="GD57" s="449"/>
      <c r="GE57" s="449"/>
      <c r="GF57" s="449"/>
      <c r="GG57" s="449"/>
      <c r="GH57" s="449"/>
      <c r="GI57" s="449"/>
      <c r="GJ57" s="449"/>
      <c r="GK57" s="449"/>
      <c r="GL57" s="449"/>
      <c r="GM57" s="449"/>
      <c r="GN57" s="449"/>
      <c r="GO57" s="449"/>
      <c r="GP57" s="449"/>
      <c r="GQ57" s="449"/>
      <c r="GR57" s="449"/>
      <c r="GS57" s="449"/>
      <c r="GT57" s="449"/>
      <c r="GU57" s="449"/>
      <c r="GV57" s="449"/>
      <c r="GW57" s="449"/>
      <c r="GX57" s="449"/>
      <c r="GY57" s="449"/>
      <c r="GZ57" s="449"/>
      <c r="HA57" s="449"/>
      <c r="HB57" s="449"/>
      <c r="HC57" s="449"/>
      <c r="HD57" s="449"/>
      <c r="HE57" s="449"/>
      <c r="HF57" s="449"/>
      <c r="HG57" s="449"/>
      <c r="HH57" s="449"/>
      <c r="HI57" s="449"/>
      <c r="HJ57" s="449"/>
      <c r="HK57" s="449"/>
      <c r="HL57" s="449"/>
      <c r="HM57" s="449"/>
      <c r="HN57" s="449"/>
      <c r="HO57" s="449"/>
      <c r="HP57" s="449"/>
      <c r="HQ57" s="449"/>
      <c r="HR57" s="449"/>
      <c r="HS57" s="449"/>
      <c r="HT57" s="449"/>
      <c r="HU57" s="449"/>
      <c r="HV57" s="449"/>
      <c r="HW57" s="449"/>
      <c r="HX57" s="449"/>
      <c r="HY57" s="449"/>
      <c r="HZ57" s="449"/>
      <c r="IA57" s="449"/>
      <c r="IB57" s="449"/>
      <c r="IC57" s="449"/>
      <c r="ID57" s="449"/>
      <c r="IE57" s="449"/>
      <c r="IF57" s="449"/>
      <c r="IG57" s="449"/>
      <c r="IH57" s="449"/>
      <c r="II57" s="449"/>
      <c r="IJ57" s="449"/>
      <c r="IK57" s="449"/>
      <c r="IL57" s="449"/>
      <c r="IM57" s="449"/>
      <c r="IN57" s="449"/>
      <c r="IO57" s="449"/>
      <c r="IP57" s="449"/>
      <c r="IQ57" s="449"/>
      <c r="IR57" s="449"/>
      <c r="IS57" s="449"/>
      <c r="IT57" s="449"/>
      <c r="IU57" s="449"/>
      <c r="IV57" s="449"/>
    </row>
    <row r="58" spans="1:256" ht="17.399999999999999">
      <c r="A58" s="449"/>
      <c r="B58" s="449"/>
      <c r="C58" s="449"/>
      <c r="D58" s="449"/>
      <c r="E58" s="449"/>
      <c r="F58" s="449"/>
      <c r="G58" s="449"/>
      <c r="H58" s="449"/>
      <c r="I58" s="449"/>
      <c r="J58" s="449"/>
      <c r="K58" s="449"/>
      <c r="L58" s="449"/>
      <c r="M58" s="449"/>
      <c r="N58" s="449"/>
      <c r="O58" s="462"/>
      <c r="P58" s="462"/>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49"/>
      <c r="DO58" s="449"/>
      <c r="DP58" s="449"/>
      <c r="DQ58" s="449"/>
      <c r="DR58" s="449"/>
      <c r="DS58" s="449"/>
      <c r="DT58" s="449"/>
      <c r="DU58" s="449"/>
      <c r="DV58" s="449"/>
      <c r="DW58" s="449"/>
      <c r="DX58" s="449"/>
      <c r="DY58" s="449"/>
      <c r="DZ58" s="449"/>
      <c r="EA58" s="449"/>
      <c r="EB58" s="449"/>
      <c r="EC58" s="449"/>
      <c r="ED58" s="449"/>
      <c r="EE58" s="449"/>
      <c r="EF58" s="449"/>
      <c r="EG58" s="449"/>
      <c r="EH58" s="449"/>
      <c r="EI58" s="449"/>
      <c r="EJ58" s="449"/>
      <c r="EK58" s="449"/>
      <c r="EL58" s="449"/>
      <c r="EM58" s="449"/>
      <c r="EN58" s="449"/>
      <c r="EO58" s="449"/>
      <c r="EP58" s="449"/>
      <c r="EQ58" s="449"/>
      <c r="ER58" s="449"/>
      <c r="ES58" s="449"/>
      <c r="ET58" s="449"/>
      <c r="EU58" s="449"/>
      <c r="EV58" s="449"/>
      <c r="EW58" s="449"/>
      <c r="EX58" s="449"/>
      <c r="EY58" s="449"/>
      <c r="EZ58" s="449"/>
      <c r="FA58" s="449"/>
      <c r="FB58" s="449"/>
      <c r="FC58" s="449"/>
      <c r="FD58" s="449"/>
      <c r="FE58" s="449"/>
      <c r="FF58" s="449"/>
      <c r="FG58" s="449"/>
      <c r="FH58" s="449"/>
      <c r="FI58" s="449"/>
      <c r="FJ58" s="449"/>
      <c r="FK58" s="449"/>
      <c r="FL58" s="449"/>
      <c r="FM58" s="449"/>
      <c r="FN58" s="449"/>
      <c r="FO58" s="449"/>
      <c r="FP58" s="449"/>
      <c r="FQ58" s="449"/>
      <c r="FR58" s="449"/>
      <c r="FS58" s="449"/>
      <c r="FT58" s="449"/>
      <c r="FU58" s="449"/>
      <c r="FV58" s="449"/>
      <c r="FW58" s="449"/>
      <c r="FX58" s="449"/>
      <c r="FY58" s="449"/>
      <c r="FZ58" s="449"/>
      <c r="GA58" s="449"/>
      <c r="GB58" s="449"/>
      <c r="GC58" s="449"/>
      <c r="GD58" s="449"/>
      <c r="GE58" s="449"/>
      <c r="GF58" s="449"/>
      <c r="GG58" s="449"/>
      <c r="GH58" s="449"/>
      <c r="GI58" s="449"/>
      <c r="GJ58" s="449"/>
      <c r="GK58" s="449"/>
      <c r="GL58" s="449"/>
      <c r="GM58" s="449"/>
      <c r="GN58" s="449"/>
      <c r="GO58" s="449"/>
      <c r="GP58" s="449"/>
      <c r="GQ58" s="449"/>
      <c r="GR58" s="449"/>
      <c r="GS58" s="449"/>
      <c r="GT58" s="449"/>
      <c r="GU58" s="449"/>
      <c r="GV58" s="449"/>
      <c r="GW58" s="449"/>
      <c r="GX58" s="449"/>
      <c r="GY58" s="449"/>
      <c r="GZ58" s="449"/>
      <c r="HA58" s="449"/>
      <c r="HB58" s="449"/>
      <c r="HC58" s="449"/>
      <c r="HD58" s="449"/>
      <c r="HE58" s="449"/>
      <c r="HF58" s="449"/>
      <c r="HG58" s="449"/>
      <c r="HH58" s="449"/>
      <c r="HI58" s="449"/>
      <c r="HJ58" s="449"/>
      <c r="HK58" s="449"/>
      <c r="HL58" s="449"/>
      <c r="HM58" s="449"/>
      <c r="HN58" s="449"/>
      <c r="HO58" s="449"/>
      <c r="HP58" s="449"/>
      <c r="HQ58" s="449"/>
      <c r="HR58" s="449"/>
      <c r="HS58" s="449"/>
      <c r="HT58" s="449"/>
      <c r="HU58" s="449"/>
      <c r="HV58" s="449"/>
      <c r="HW58" s="449"/>
      <c r="HX58" s="449"/>
      <c r="HY58" s="449"/>
      <c r="HZ58" s="449"/>
      <c r="IA58" s="449"/>
      <c r="IB58" s="449"/>
      <c r="IC58" s="449"/>
      <c r="ID58" s="449"/>
      <c r="IE58" s="449"/>
      <c r="IF58" s="449"/>
      <c r="IG58" s="449"/>
      <c r="IH58" s="449"/>
      <c r="II58" s="449"/>
      <c r="IJ58" s="449"/>
      <c r="IK58" s="449"/>
      <c r="IL58" s="449"/>
      <c r="IM58" s="449"/>
      <c r="IN58" s="449"/>
      <c r="IO58" s="449"/>
      <c r="IP58" s="449"/>
      <c r="IQ58" s="449"/>
      <c r="IR58" s="449"/>
      <c r="IS58" s="449"/>
      <c r="IT58" s="449"/>
      <c r="IU58" s="449"/>
      <c r="IV58" s="449"/>
    </row>
    <row r="59" spans="1:256" ht="17.399999999999999">
      <c r="A59" s="449"/>
      <c r="B59" s="449"/>
      <c r="C59" s="449"/>
      <c r="D59" s="449"/>
      <c r="E59" s="449"/>
      <c r="F59" s="449"/>
      <c r="G59" s="449"/>
      <c r="H59" s="449"/>
      <c r="I59" s="449"/>
      <c r="J59" s="449"/>
      <c r="K59" s="449"/>
      <c r="L59" s="449"/>
      <c r="M59" s="449"/>
      <c r="N59" s="449"/>
      <c r="O59" s="462"/>
      <c r="P59" s="462"/>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c r="DP59" s="449"/>
      <c r="DQ59" s="449"/>
      <c r="DR59" s="449"/>
      <c r="DS59" s="449"/>
      <c r="DT59" s="449"/>
      <c r="DU59" s="449"/>
      <c r="DV59" s="449"/>
      <c r="DW59" s="449"/>
      <c r="DX59" s="449"/>
      <c r="DY59" s="449"/>
      <c r="DZ59" s="449"/>
      <c r="EA59" s="449"/>
      <c r="EB59" s="449"/>
      <c r="EC59" s="449"/>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449"/>
      <c r="FZ59" s="449"/>
      <c r="GA59" s="449"/>
      <c r="GB59" s="449"/>
      <c r="GC59" s="449"/>
      <c r="GD59" s="449"/>
      <c r="GE59" s="449"/>
      <c r="GF59" s="449"/>
      <c r="GG59" s="449"/>
      <c r="GH59" s="449"/>
      <c r="GI59" s="449"/>
      <c r="GJ59" s="449"/>
      <c r="GK59" s="449"/>
      <c r="GL59" s="449"/>
      <c r="GM59" s="449"/>
      <c r="GN59" s="449"/>
      <c r="GO59" s="449"/>
      <c r="GP59" s="449"/>
      <c r="GQ59" s="449"/>
      <c r="GR59" s="449"/>
      <c r="GS59" s="449"/>
      <c r="GT59" s="449"/>
      <c r="GU59" s="449"/>
      <c r="GV59" s="449"/>
      <c r="GW59" s="449"/>
      <c r="GX59" s="449"/>
      <c r="GY59" s="449"/>
      <c r="GZ59" s="449"/>
      <c r="HA59" s="449"/>
      <c r="HB59" s="449"/>
      <c r="HC59" s="449"/>
      <c r="HD59" s="449"/>
      <c r="HE59" s="449"/>
      <c r="HF59" s="449"/>
      <c r="HG59" s="449"/>
      <c r="HH59" s="449"/>
      <c r="HI59" s="449"/>
      <c r="HJ59" s="449"/>
      <c r="HK59" s="449"/>
      <c r="HL59" s="449"/>
      <c r="HM59" s="449"/>
      <c r="HN59" s="449"/>
      <c r="HO59" s="449"/>
      <c r="HP59" s="449"/>
      <c r="HQ59" s="449"/>
      <c r="HR59" s="449"/>
      <c r="HS59" s="449"/>
      <c r="HT59" s="449"/>
      <c r="HU59" s="449"/>
      <c r="HV59" s="449"/>
      <c r="HW59" s="449"/>
      <c r="HX59" s="449"/>
      <c r="HY59" s="449"/>
      <c r="HZ59" s="449"/>
      <c r="IA59" s="449"/>
      <c r="IB59" s="449"/>
      <c r="IC59" s="449"/>
      <c r="ID59" s="449"/>
      <c r="IE59" s="449"/>
      <c r="IF59" s="449"/>
      <c r="IG59" s="449"/>
      <c r="IH59" s="449"/>
      <c r="II59" s="449"/>
      <c r="IJ59" s="449"/>
      <c r="IK59" s="449"/>
      <c r="IL59" s="449"/>
      <c r="IM59" s="449"/>
      <c r="IN59" s="449"/>
      <c r="IO59" s="449"/>
      <c r="IP59" s="449"/>
      <c r="IQ59" s="449"/>
      <c r="IR59" s="449"/>
      <c r="IS59" s="449"/>
      <c r="IT59" s="449"/>
      <c r="IU59" s="449"/>
      <c r="IV59" s="449"/>
    </row>
    <row r="60" spans="1:256" ht="17.399999999999999">
      <c r="A60" s="449"/>
      <c r="B60" s="449"/>
      <c r="C60" s="449"/>
      <c r="D60" s="449"/>
      <c r="E60" s="449"/>
      <c r="F60" s="449"/>
      <c r="G60" s="449"/>
      <c r="H60" s="449"/>
      <c r="I60" s="449"/>
      <c r="J60" s="449"/>
      <c r="K60" s="449"/>
      <c r="L60" s="449"/>
      <c r="M60" s="449"/>
      <c r="N60" s="449"/>
      <c r="O60" s="462"/>
      <c r="P60" s="462"/>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49"/>
      <c r="DR60" s="449"/>
      <c r="DS60" s="449"/>
      <c r="DT60" s="449"/>
      <c r="DU60" s="449"/>
      <c r="DV60" s="449"/>
      <c r="DW60" s="449"/>
      <c r="DX60" s="449"/>
      <c r="DY60" s="449"/>
      <c r="DZ60" s="449"/>
      <c r="EA60" s="449"/>
      <c r="EB60" s="449"/>
      <c r="EC60" s="449"/>
      <c r="ED60" s="449"/>
      <c r="EE60" s="449"/>
      <c r="EF60" s="449"/>
      <c r="EG60" s="449"/>
      <c r="EH60" s="449"/>
      <c r="EI60" s="449"/>
      <c r="EJ60" s="449"/>
      <c r="EK60" s="449"/>
      <c r="EL60" s="449"/>
      <c r="EM60" s="449"/>
      <c r="EN60" s="449"/>
      <c r="EO60" s="449"/>
      <c r="EP60" s="449"/>
      <c r="EQ60" s="449"/>
      <c r="ER60" s="449"/>
      <c r="ES60" s="449"/>
      <c r="ET60" s="449"/>
      <c r="EU60" s="449"/>
      <c r="EV60" s="449"/>
      <c r="EW60" s="449"/>
      <c r="EX60" s="449"/>
      <c r="EY60" s="449"/>
      <c r="EZ60" s="449"/>
      <c r="FA60" s="449"/>
      <c r="FB60" s="449"/>
      <c r="FC60" s="449"/>
      <c r="FD60" s="449"/>
      <c r="FE60" s="449"/>
      <c r="FF60" s="449"/>
      <c r="FG60" s="449"/>
      <c r="FH60" s="449"/>
      <c r="FI60" s="449"/>
      <c r="FJ60" s="449"/>
      <c r="FK60" s="449"/>
      <c r="FL60" s="449"/>
      <c r="FM60" s="449"/>
      <c r="FN60" s="449"/>
      <c r="FO60" s="449"/>
      <c r="FP60" s="449"/>
      <c r="FQ60" s="449"/>
      <c r="FR60" s="449"/>
      <c r="FS60" s="449"/>
      <c r="FT60" s="449"/>
      <c r="FU60" s="449"/>
      <c r="FV60" s="449"/>
      <c r="FW60" s="449"/>
      <c r="FX60" s="449"/>
      <c r="FY60" s="449"/>
      <c r="FZ60" s="449"/>
      <c r="GA60" s="449"/>
      <c r="GB60" s="449"/>
      <c r="GC60" s="449"/>
      <c r="GD60" s="449"/>
      <c r="GE60" s="449"/>
      <c r="GF60" s="449"/>
      <c r="GG60" s="449"/>
      <c r="GH60" s="449"/>
      <c r="GI60" s="449"/>
      <c r="GJ60" s="449"/>
      <c r="GK60" s="449"/>
      <c r="GL60" s="449"/>
      <c r="GM60" s="449"/>
      <c r="GN60" s="449"/>
      <c r="GO60" s="449"/>
      <c r="GP60" s="449"/>
      <c r="GQ60" s="449"/>
      <c r="GR60" s="449"/>
      <c r="GS60" s="449"/>
      <c r="GT60" s="449"/>
      <c r="GU60" s="449"/>
      <c r="GV60" s="449"/>
      <c r="GW60" s="449"/>
      <c r="GX60" s="449"/>
      <c r="GY60" s="449"/>
      <c r="GZ60" s="449"/>
      <c r="HA60" s="449"/>
      <c r="HB60" s="449"/>
      <c r="HC60" s="449"/>
      <c r="HD60" s="449"/>
      <c r="HE60" s="449"/>
      <c r="HF60" s="449"/>
      <c r="HG60" s="449"/>
      <c r="HH60" s="449"/>
      <c r="HI60" s="449"/>
      <c r="HJ60" s="449"/>
      <c r="HK60" s="449"/>
      <c r="HL60" s="449"/>
      <c r="HM60" s="449"/>
      <c r="HN60" s="449"/>
      <c r="HO60" s="449"/>
      <c r="HP60" s="449"/>
      <c r="HQ60" s="449"/>
      <c r="HR60" s="449"/>
      <c r="HS60" s="449"/>
      <c r="HT60" s="449"/>
      <c r="HU60" s="449"/>
      <c r="HV60" s="449"/>
      <c r="HW60" s="449"/>
      <c r="HX60" s="449"/>
      <c r="HY60" s="449"/>
      <c r="HZ60" s="449"/>
      <c r="IA60" s="449"/>
      <c r="IB60" s="449"/>
      <c r="IC60" s="449"/>
      <c r="ID60" s="449"/>
      <c r="IE60" s="449"/>
      <c r="IF60" s="449"/>
      <c r="IG60" s="449"/>
      <c r="IH60" s="449"/>
      <c r="II60" s="449"/>
      <c r="IJ60" s="449"/>
      <c r="IK60" s="449"/>
      <c r="IL60" s="449"/>
      <c r="IM60" s="449"/>
      <c r="IN60" s="449"/>
      <c r="IO60" s="449"/>
      <c r="IP60" s="449"/>
      <c r="IQ60" s="449"/>
      <c r="IR60" s="449"/>
      <c r="IS60" s="449"/>
      <c r="IT60" s="449"/>
      <c r="IU60" s="449"/>
      <c r="IV60" s="449"/>
    </row>
    <row r="61" spans="1:256" ht="17.399999999999999">
      <c r="A61" s="449"/>
      <c r="B61" s="449"/>
      <c r="C61" s="449"/>
      <c r="D61" s="464"/>
      <c r="E61" s="449"/>
      <c r="F61" s="449"/>
      <c r="G61" s="449"/>
      <c r="H61" s="449"/>
      <c r="I61" s="449"/>
      <c r="J61" s="464"/>
      <c r="K61" s="449"/>
      <c r="L61" s="464"/>
      <c r="M61" s="449"/>
      <c r="N61" s="449"/>
      <c r="O61" s="462"/>
      <c r="P61" s="462"/>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c r="DA61" s="449"/>
      <c r="DB61" s="449"/>
      <c r="DC61" s="449"/>
      <c r="DD61" s="449"/>
      <c r="DE61" s="449"/>
      <c r="DF61" s="449"/>
      <c r="DG61" s="449"/>
      <c r="DH61" s="449"/>
      <c r="DI61" s="449"/>
      <c r="DJ61" s="449"/>
      <c r="DK61" s="449"/>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49"/>
      <c r="EU61" s="449"/>
      <c r="EV61" s="449"/>
      <c r="EW61" s="449"/>
      <c r="EX61" s="449"/>
      <c r="EY61" s="449"/>
      <c r="EZ61" s="449"/>
      <c r="FA61" s="449"/>
      <c r="FB61" s="449"/>
      <c r="FC61" s="449"/>
      <c r="FD61" s="449"/>
      <c r="FE61" s="449"/>
      <c r="FF61" s="449"/>
      <c r="FG61" s="449"/>
      <c r="FH61" s="449"/>
      <c r="FI61" s="449"/>
      <c r="FJ61" s="449"/>
      <c r="FK61" s="449"/>
      <c r="FL61" s="449"/>
      <c r="FM61" s="449"/>
      <c r="FN61" s="449"/>
      <c r="FO61" s="449"/>
      <c r="FP61" s="449"/>
      <c r="FQ61" s="449"/>
      <c r="FR61" s="449"/>
      <c r="FS61" s="449"/>
      <c r="FT61" s="449"/>
      <c r="FU61" s="449"/>
      <c r="FV61" s="449"/>
      <c r="FW61" s="449"/>
      <c r="FX61" s="449"/>
      <c r="FY61" s="449"/>
      <c r="FZ61" s="449"/>
      <c r="GA61" s="449"/>
      <c r="GB61" s="449"/>
      <c r="GC61" s="449"/>
      <c r="GD61" s="449"/>
      <c r="GE61" s="449"/>
      <c r="GF61" s="449"/>
      <c r="GG61" s="449"/>
      <c r="GH61" s="449"/>
      <c r="GI61" s="449"/>
      <c r="GJ61" s="449"/>
      <c r="GK61" s="449"/>
      <c r="GL61" s="449"/>
      <c r="GM61" s="449"/>
      <c r="GN61" s="449"/>
      <c r="GO61" s="449"/>
      <c r="GP61" s="449"/>
      <c r="GQ61" s="449"/>
      <c r="GR61" s="449"/>
      <c r="GS61" s="449"/>
      <c r="GT61" s="449"/>
      <c r="GU61" s="449"/>
      <c r="GV61" s="449"/>
      <c r="GW61" s="449"/>
      <c r="GX61" s="449"/>
      <c r="GY61" s="449"/>
      <c r="GZ61" s="449"/>
      <c r="HA61" s="449"/>
      <c r="HB61" s="449"/>
      <c r="HC61" s="449"/>
      <c r="HD61" s="449"/>
      <c r="HE61" s="449"/>
      <c r="HF61" s="449"/>
      <c r="HG61" s="449"/>
      <c r="HH61" s="449"/>
      <c r="HI61" s="449"/>
      <c r="HJ61" s="449"/>
      <c r="HK61" s="449"/>
      <c r="HL61" s="449"/>
      <c r="HM61" s="449"/>
      <c r="HN61" s="449"/>
      <c r="HO61" s="449"/>
      <c r="HP61" s="449"/>
      <c r="HQ61" s="449"/>
      <c r="HR61" s="449"/>
      <c r="HS61" s="449"/>
      <c r="HT61" s="449"/>
      <c r="HU61" s="449"/>
      <c r="HV61" s="449"/>
      <c r="HW61" s="449"/>
      <c r="HX61" s="449"/>
      <c r="HY61" s="449"/>
      <c r="HZ61" s="449"/>
      <c r="IA61" s="449"/>
      <c r="IB61" s="449"/>
      <c r="IC61" s="449"/>
      <c r="ID61" s="449"/>
      <c r="IE61" s="449"/>
      <c r="IF61" s="449"/>
      <c r="IG61" s="449"/>
      <c r="IH61" s="449"/>
      <c r="II61" s="449"/>
      <c r="IJ61" s="449"/>
      <c r="IK61" s="449"/>
      <c r="IL61" s="449"/>
      <c r="IM61" s="449"/>
      <c r="IN61" s="449"/>
      <c r="IO61" s="449"/>
      <c r="IP61" s="449"/>
      <c r="IQ61" s="449"/>
      <c r="IR61" s="449"/>
      <c r="IS61" s="449"/>
      <c r="IT61" s="449"/>
      <c r="IU61" s="449"/>
      <c r="IV61" s="449"/>
    </row>
    <row r="62" spans="1:256" ht="17.399999999999999">
      <c r="A62" s="449"/>
      <c r="B62" s="449"/>
      <c r="C62" s="449"/>
      <c r="D62" s="464"/>
      <c r="E62" s="449"/>
      <c r="F62" s="449"/>
      <c r="G62" s="449"/>
      <c r="H62" s="449"/>
      <c r="I62" s="449"/>
      <c r="J62" s="464"/>
      <c r="K62" s="449"/>
      <c r="L62" s="464"/>
      <c r="M62" s="449"/>
      <c r="N62" s="449"/>
      <c r="O62" s="462"/>
      <c r="P62" s="462"/>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c r="DA62" s="449"/>
      <c r="DB62" s="449"/>
      <c r="DC62" s="449"/>
      <c r="DD62" s="449"/>
      <c r="DE62" s="449"/>
      <c r="DF62" s="449"/>
      <c r="DG62" s="449"/>
      <c r="DH62" s="449"/>
      <c r="DI62" s="449"/>
      <c r="DJ62" s="449"/>
      <c r="DK62" s="449"/>
      <c r="DL62" s="449"/>
      <c r="DM62" s="449"/>
      <c r="DN62" s="449"/>
      <c r="DO62" s="449"/>
      <c r="DP62" s="449"/>
      <c r="DQ62" s="449"/>
      <c r="DR62" s="449"/>
      <c r="DS62" s="449"/>
      <c r="DT62" s="449"/>
      <c r="DU62" s="449"/>
      <c r="DV62" s="449"/>
      <c r="DW62" s="449"/>
      <c r="DX62" s="449"/>
      <c r="DY62" s="449"/>
      <c r="DZ62" s="449"/>
      <c r="EA62" s="449"/>
      <c r="EB62" s="449"/>
      <c r="EC62" s="449"/>
      <c r="ED62" s="449"/>
      <c r="EE62" s="449"/>
      <c r="EF62" s="449"/>
      <c r="EG62" s="449"/>
      <c r="EH62" s="449"/>
      <c r="EI62" s="449"/>
      <c r="EJ62" s="449"/>
      <c r="EK62" s="449"/>
      <c r="EL62" s="449"/>
      <c r="EM62" s="449"/>
      <c r="EN62" s="449"/>
      <c r="EO62" s="449"/>
      <c r="EP62" s="449"/>
      <c r="EQ62" s="449"/>
      <c r="ER62" s="449"/>
      <c r="ES62" s="449"/>
      <c r="ET62" s="449"/>
      <c r="EU62" s="449"/>
      <c r="EV62" s="449"/>
      <c r="EW62" s="449"/>
      <c r="EX62" s="449"/>
      <c r="EY62" s="449"/>
      <c r="EZ62" s="449"/>
      <c r="FA62" s="449"/>
      <c r="FB62" s="449"/>
      <c r="FC62" s="449"/>
      <c r="FD62" s="449"/>
      <c r="FE62" s="449"/>
      <c r="FF62" s="449"/>
      <c r="FG62" s="449"/>
      <c r="FH62" s="449"/>
      <c r="FI62" s="449"/>
      <c r="FJ62" s="449"/>
      <c r="FK62" s="449"/>
      <c r="FL62" s="449"/>
      <c r="FM62" s="449"/>
      <c r="FN62" s="449"/>
      <c r="FO62" s="449"/>
      <c r="FP62" s="449"/>
      <c r="FQ62" s="449"/>
      <c r="FR62" s="449"/>
      <c r="FS62" s="449"/>
      <c r="FT62" s="449"/>
      <c r="FU62" s="449"/>
      <c r="FV62" s="449"/>
      <c r="FW62" s="449"/>
      <c r="FX62" s="449"/>
      <c r="FY62" s="449"/>
      <c r="FZ62" s="449"/>
      <c r="GA62" s="449"/>
      <c r="GB62" s="449"/>
      <c r="GC62" s="449"/>
      <c r="GD62" s="449"/>
      <c r="GE62" s="449"/>
      <c r="GF62" s="449"/>
      <c r="GG62" s="449"/>
      <c r="GH62" s="449"/>
      <c r="GI62" s="449"/>
      <c r="GJ62" s="449"/>
      <c r="GK62" s="449"/>
      <c r="GL62" s="449"/>
      <c r="GM62" s="449"/>
      <c r="GN62" s="449"/>
      <c r="GO62" s="449"/>
      <c r="GP62" s="449"/>
      <c r="GQ62" s="449"/>
      <c r="GR62" s="449"/>
      <c r="GS62" s="449"/>
      <c r="GT62" s="449"/>
      <c r="GU62" s="449"/>
      <c r="GV62" s="449"/>
      <c r="GW62" s="449"/>
      <c r="GX62" s="449"/>
      <c r="GY62" s="449"/>
      <c r="GZ62" s="449"/>
      <c r="HA62" s="449"/>
      <c r="HB62" s="449"/>
      <c r="HC62" s="449"/>
      <c r="HD62" s="449"/>
      <c r="HE62" s="449"/>
      <c r="HF62" s="449"/>
      <c r="HG62" s="449"/>
      <c r="HH62" s="449"/>
      <c r="HI62" s="449"/>
      <c r="HJ62" s="449"/>
      <c r="HK62" s="449"/>
      <c r="HL62" s="449"/>
      <c r="HM62" s="449"/>
      <c r="HN62" s="449"/>
      <c r="HO62" s="449"/>
      <c r="HP62" s="449"/>
      <c r="HQ62" s="449"/>
      <c r="HR62" s="449"/>
      <c r="HS62" s="449"/>
      <c r="HT62" s="449"/>
      <c r="HU62" s="449"/>
      <c r="HV62" s="449"/>
      <c r="HW62" s="449"/>
      <c r="HX62" s="449"/>
      <c r="HY62" s="449"/>
      <c r="HZ62" s="449"/>
      <c r="IA62" s="449"/>
      <c r="IB62" s="449"/>
      <c r="IC62" s="449"/>
      <c r="ID62" s="449"/>
      <c r="IE62" s="449"/>
      <c r="IF62" s="449"/>
      <c r="IG62" s="449"/>
      <c r="IH62" s="449"/>
      <c r="II62" s="449"/>
      <c r="IJ62" s="449"/>
      <c r="IK62" s="449"/>
      <c r="IL62" s="449"/>
      <c r="IM62" s="449"/>
      <c r="IN62" s="449"/>
      <c r="IO62" s="449"/>
      <c r="IP62" s="449"/>
      <c r="IQ62" s="449"/>
      <c r="IR62" s="449"/>
      <c r="IS62" s="449"/>
      <c r="IT62" s="449"/>
      <c r="IU62" s="449"/>
      <c r="IV62" s="449"/>
    </row>
    <row r="63" spans="1:256" ht="17.399999999999999">
      <c r="A63" s="465"/>
      <c r="B63" s="449"/>
      <c r="C63" s="449"/>
      <c r="D63" s="466"/>
      <c r="E63" s="454"/>
      <c r="F63" s="466"/>
      <c r="G63" s="454"/>
      <c r="H63" s="466"/>
      <c r="I63" s="454"/>
      <c r="J63" s="466"/>
      <c r="K63" s="454"/>
      <c r="L63" s="466"/>
      <c r="M63" s="449"/>
      <c r="N63" s="449"/>
      <c r="O63" s="462"/>
      <c r="P63" s="462"/>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49"/>
      <c r="DQ63" s="449"/>
      <c r="DR63" s="449"/>
      <c r="DS63" s="449"/>
      <c r="DT63" s="449"/>
      <c r="DU63" s="449"/>
      <c r="DV63" s="449"/>
      <c r="DW63" s="449"/>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49"/>
      <c r="EX63" s="449"/>
      <c r="EY63" s="449"/>
      <c r="EZ63" s="449"/>
      <c r="FA63" s="449"/>
      <c r="FB63" s="449"/>
      <c r="FC63" s="449"/>
      <c r="FD63" s="449"/>
      <c r="FE63" s="449"/>
      <c r="FF63" s="449"/>
      <c r="FG63" s="449"/>
      <c r="FH63" s="449"/>
      <c r="FI63" s="449"/>
      <c r="FJ63" s="449"/>
      <c r="FK63" s="449"/>
      <c r="FL63" s="449"/>
      <c r="FM63" s="449"/>
      <c r="FN63" s="449"/>
      <c r="FO63" s="449"/>
      <c r="FP63" s="449"/>
      <c r="FQ63" s="449"/>
      <c r="FR63" s="449"/>
      <c r="FS63" s="449"/>
      <c r="FT63" s="449"/>
      <c r="FU63" s="449"/>
      <c r="FV63" s="449"/>
      <c r="FW63" s="449"/>
      <c r="FX63" s="449"/>
      <c r="FY63" s="449"/>
      <c r="FZ63" s="449"/>
      <c r="GA63" s="449"/>
      <c r="GB63" s="449"/>
      <c r="GC63" s="449"/>
      <c r="GD63" s="449"/>
      <c r="GE63" s="449"/>
      <c r="GF63" s="449"/>
      <c r="GG63" s="449"/>
      <c r="GH63" s="449"/>
      <c r="GI63" s="449"/>
      <c r="GJ63" s="449"/>
      <c r="GK63" s="449"/>
      <c r="GL63" s="449"/>
      <c r="GM63" s="449"/>
      <c r="GN63" s="449"/>
      <c r="GO63" s="449"/>
      <c r="GP63" s="449"/>
      <c r="GQ63" s="449"/>
      <c r="GR63" s="449"/>
      <c r="GS63" s="449"/>
      <c r="GT63" s="449"/>
      <c r="GU63" s="449"/>
      <c r="GV63" s="449"/>
      <c r="GW63" s="449"/>
      <c r="GX63" s="449"/>
      <c r="GY63" s="449"/>
      <c r="GZ63" s="449"/>
      <c r="HA63" s="449"/>
      <c r="HB63" s="449"/>
      <c r="HC63" s="449"/>
      <c r="HD63" s="449"/>
      <c r="HE63" s="449"/>
      <c r="HF63" s="449"/>
      <c r="HG63" s="449"/>
      <c r="HH63" s="449"/>
      <c r="HI63" s="449"/>
      <c r="HJ63" s="449"/>
      <c r="HK63" s="449"/>
      <c r="HL63" s="449"/>
      <c r="HM63" s="449"/>
      <c r="HN63" s="449"/>
      <c r="HO63" s="449"/>
      <c r="HP63" s="449"/>
      <c r="HQ63" s="449"/>
      <c r="HR63" s="449"/>
      <c r="HS63" s="449"/>
      <c r="HT63" s="449"/>
      <c r="HU63" s="449"/>
      <c r="HV63" s="449"/>
      <c r="HW63" s="449"/>
      <c r="HX63" s="449"/>
      <c r="HY63" s="449"/>
      <c r="HZ63" s="449"/>
      <c r="IA63" s="449"/>
      <c r="IB63" s="449"/>
      <c r="IC63" s="449"/>
      <c r="ID63" s="449"/>
      <c r="IE63" s="449"/>
      <c r="IF63" s="449"/>
      <c r="IG63" s="449"/>
      <c r="IH63" s="449"/>
      <c r="II63" s="449"/>
      <c r="IJ63" s="449"/>
      <c r="IK63" s="449"/>
      <c r="IL63" s="449"/>
      <c r="IM63" s="449"/>
      <c r="IN63" s="449"/>
      <c r="IO63" s="449"/>
      <c r="IP63" s="449"/>
      <c r="IQ63" s="449"/>
      <c r="IR63" s="449"/>
      <c r="IS63" s="449"/>
      <c r="IT63" s="449"/>
      <c r="IU63" s="449"/>
      <c r="IV63" s="449"/>
    </row>
    <row r="64" spans="1:256" ht="17.399999999999999">
      <c r="A64" s="449"/>
      <c r="B64" s="449"/>
      <c r="C64" s="449"/>
      <c r="D64" s="454"/>
      <c r="E64" s="449"/>
      <c r="F64" s="454"/>
      <c r="G64" s="449"/>
      <c r="H64" s="454"/>
      <c r="I64" s="449"/>
      <c r="J64" s="454"/>
      <c r="K64" s="449"/>
      <c r="L64" s="454"/>
      <c r="M64" s="449"/>
      <c r="N64" s="449"/>
      <c r="O64" s="462"/>
      <c r="P64" s="462"/>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c r="CQ64" s="449"/>
      <c r="CR64" s="449"/>
      <c r="CS64" s="449"/>
      <c r="CT64" s="449"/>
      <c r="CU64" s="449"/>
      <c r="CV64" s="449"/>
      <c r="CW64" s="449"/>
      <c r="CX64" s="449"/>
      <c r="CY64" s="449"/>
      <c r="CZ64" s="449"/>
      <c r="DA64" s="449"/>
      <c r="DB64" s="449"/>
      <c r="DC64" s="449"/>
      <c r="DD64" s="449"/>
      <c r="DE64" s="449"/>
      <c r="DF64" s="449"/>
      <c r="DG64" s="449"/>
      <c r="DH64" s="449"/>
      <c r="DI64" s="449"/>
      <c r="DJ64" s="449"/>
      <c r="DK64" s="449"/>
      <c r="DL64" s="449"/>
      <c r="DM64" s="449"/>
      <c r="DN64" s="449"/>
      <c r="DO64" s="449"/>
      <c r="DP64" s="449"/>
      <c r="DQ64" s="449"/>
      <c r="DR64" s="449"/>
      <c r="DS64" s="449"/>
      <c r="DT64" s="449"/>
      <c r="DU64" s="449"/>
      <c r="DV64" s="449"/>
      <c r="DW64" s="449"/>
      <c r="DX64" s="449"/>
      <c r="DY64" s="449"/>
      <c r="DZ64" s="449"/>
      <c r="EA64" s="449"/>
      <c r="EB64" s="449"/>
      <c r="EC64" s="449"/>
      <c r="ED64" s="449"/>
      <c r="EE64" s="449"/>
      <c r="EF64" s="449"/>
      <c r="EG64" s="449"/>
      <c r="EH64" s="449"/>
      <c r="EI64" s="449"/>
      <c r="EJ64" s="449"/>
      <c r="EK64" s="449"/>
      <c r="EL64" s="449"/>
      <c r="EM64" s="449"/>
      <c r="EN64" s="449"/>
      <c r="EO64" s="449"/>
      <c r="EP64" s="449"/>
      <c r="EQ64" s="449"/>
      <c r="ER64" s="449"/>
      <c r="ES64" s="449"/>
      <c r="ET64" s="449"/>
      <c r="EU64" s="449"/>
      <c r="EV64" s="449"/>
      <c r="EW64" s="449"/>
      <c r="EX64" s="449"/>
      <c r="EY64" s="449"/>
      <c r="EZ64" s="449"/>
      <c r="FA64" s="449"/>
      <c r="FB64" s="449"/>
      <c r="FC64" s="449"/>
      <c r="FD64" s="449"/>
      <c r="FE64" s="449"/>
      <c r="FF64" s="449"/>
      <c r="FG64" s="449"/>
      <c r="FH64" s="449"/>
      <c r="FI64" s="449"/>
      <c r="FJ64" s="449"/>
      <c r="FK64" s="449"/>
      <c r="FL64" s="449"/>
      <c r="FM64" s="449"/>
      <c r="FN64" s="449"/>
      <c r="FO64" s="449"/>
      <c r="FP64" s="449"/>
      <c r="FQ64" s="449"/>
      <c r="FR64" s="449"/>
      <c r="FS64" s="449"/>
      <c r="FT64" s="449"/>
      <c r="FU64" s="449"/>
      <c r="FV64" s="449"/>
      <c r="FW64" s="449"/>
      <c r="FX64" s="449"/>
      <c r="FY64" s="449"/>
      <c r="FZ64" s="449"/>
      <c r="GA64" s="449"/>
      <c r="GB64" s="449"/>
      <c r="GC64" s="449"/>
      <c r="GD64" s="449"/>
      <c r="GE64" s="449"/>
      <c r="GF64" s="449"/>
      <c r="GG64" s="449"/>
      <c r="GH64" s="449"/>
      <c r="GI64" s="449"/>
      <c r="GJ64" s="449"/>
      <c r="GK64" s="449"/>
      <c r="GL64" s="449"/>
      <c r="GM64" s="449"/>
      <c r="GN64" s="449"/>
      <c r="GO64" s="449"/>
      <c r="GP64" s="449"/>
      <c r="GQ64" s="449"/>
      <c r="GR64" s="449"/>
      <c r="GS64" s="449"/>
      <c r="GT64" s="449"/>
      <c r="GU64" s="449"/>
      <c r="GV64" s="449"/>
      <c r="GW64" s="449"/>
      <c r="GX64" s="449"/>
      <c r="GY64" s="449"/>
      <c r="GZ64" s="449"/>
      <c r="HA64" s="449"/>
      <c r="HB64" s="449"/>
      <c r="HC64" s="449"/>
      <c r="HD64" s="449"/>
      <c r="HE64" s="449"/>
      <c r="HF64" s="449"/>
      <c r="HG64" s="449"/>
      <c r="HH64" s="449"/>
      <c r="HI64" s="449"/>
      <c r="HJ64" s="449"/>
      <c r="HK64" s="449"/>
      <c r="HL64" s="449"/>
      <c r="HM64" s="449"/>
      <c r="HN64" s="449"/>
      <c r="HO64" s="449"/>
      <c r="HP64" s="449"/>
      <c r="HQ64" s="449"/>
      <c r="HR64" s="449"/>
      <c r="HS64" s="449"/>
      <c r="HT64" s="449"/>
      <c r="HU64" s="449"/>
      <c r="HV64" s="449"/>
      <c r="HW64" s="449"/>
      <c r="HX64" s="449"/>
      <c r="HY64" s="449"/>
      <c r="HZ64" s="449"/>
      <c r="IA64" s="449"/>
      <c r="IB64" s="449"/>
      <c r="IC64" s="449"/>
      <c r="ID64" s="449"/>
      <c r="IE64" s="449"/>
      <c r="IF64" s="449"/>
      <c r="IG64" s="449"/>
      <c r="IH64" s="449"/>
      <c r="II64" s="449"/>
      <c r="IJ64" s="449"/>
      <c r="IK64" s="449"/>
      <c r="IL64" s="449"/>
      <c r="IM64" s="449"/>
      <c r="IN64" s="449"/>
      <c r="IO64" s="449"/>
      <c r="IP64" s="449"/>
      <c r="IQ64" s="449"/>
      <c r="IR64" s="449"/>
      <c r="IS64" s="449"/>
      <c r="IT64" s="449"/>
      <c r="IU64" s="449"/>
      <c r="IV64" s="449"/>
    </row>
    <row r="65" spans="1:256" ht="17.399999999999999">
      <c r="A65" s="452"/>
      <c r="B65" s="449"/>
      <c r="C65" s="449"/>
      <c r="D65" s="449"/>
      <c r="E65" s="449"/>
      <c r="F65" s="449"/>
      <c r="G65" s="449"/>
      <c r="H65" s="449"/>
      <c r="I65" s="449"/>
      <c r="J65" s="449"/>
      <c r="K65" s="449"/>
      <c r="L65" s="449"/>
      <c r="M65" s="449"/>
      <c r="N65" s="449"/>
      <c r="O65" s="462"/>
      <c r="P65" s="462"/>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c r="CW65" s="449"/>
      <c r="CX65" s="449"/>
      <c r="CY65" s="449"/>
      <c r="CZ65" s="449"/>
      <c r="DA65" s="449"/>
      <c r="DB65" s="449"/>
      <c r="DC65" s="449"/>
      <c r="DD65" s="449"/>
      <c r="DE65" s="449"/>
      <c r="DF65" s="449"/>
      <c r="DG65" s="449"/>
      <c r="DH65" s="449"/>
      <c r="DI65" s="449"/>
      <c r="DJ65" s="449"/>
      <c r="DK65" s="449"/>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49"/>
      <c r="EU65" s="449"/>
      <c r="EV65" s="449"/>
      <c r="EW65" s="449"/>
      <c r="EX65" s="449"/>
      <c r="EY65" s="449"/>
      <c r="EZ65" s="449"/>
      <c r="FA65" s="449"/>
      <c r="FB65" s="449"/>
      <c r="FC65" s="449"/>
      <c r="FD65" s="449"/>
      <c r="FE65" s="449"/>
      <c r="FF65" s="449"/>
      <c r="FG65" s="449"/>
      <c r="FH65" s="449"/>
      <c r="FI65" s="449"/>
      <c r="FJ65" s="449"/>
      <c r="FK65" s="449"/>
      <c r="FL65" s="449"/>
      <c r="FM65" s="449"/>
      <c r="FN65" s="449"/>
      <c r="FO65" s="449"/>
      <c r="FP65" s="449"/>
      <c r="FQ65" s="449"/>
      <c r="FR65" s="449"/>
      <c r="FS65" s="449"/>
      <c r="FT65" s="449"/>
      <c r="FU65" s="449"/>
      <c r="FV65" s="449"/>
      <c r="FW65" s="449"/>
      <c r="FX65" s="449"/>
      <c r="FY65" s="449"/>
      <c r="FZ65" s="449"/>
      <c r="GA65" s="449"/>
      <c r="GB65" s="449"/>
      <c r="GC65" s="449"/>
      <c r="GD65" s="449"/>
      <c r="GE65" s="449"/>
      <c r="GF65" s="449"/>
      <c r="GG65" s="449"/>
      <c r="GH65" s="449"/>
      <c r="GI65" s="449"/>
      <c r="GJ65" s="449"/>
      <c r="GK65" s="449"/>
      <c r="GL65" s="449"/>
      <c r="GM65" s="449"/>
      <c r="GN65" s="449"/>
      <c r="GO65" s="449"/>
      <c r="GP65" s="449"/>
      <c r="GQ65" s="449"/>
      <c r="GR65" s="449"/>
      <c r="GS65" s="449"/>
      <c r="GT65" s="449"/>
      <c r="GU65" s="449"/>
      <c r="GV65" s="449"/>
      <c r="GW65" s="449"/>
      <c r="GX65" s="449"/>
      <c r="GY65" s="449"/>
      <c r="GZ65" s="449"/>
      <c r="HA65" s="449"/>
      <c r="HB65" s="449"/>
      <c r="HC65" s="449"/>
      <c r="HD65" s="449"/>
      <c r="HE65" s="449"/>
      <c r="HF65" s="449"/>
      <c r="HG65" s="449"/>
      <c r="HH65" s="449"/>
      <c r="HI65" s="449"/>
      <c r="HJ65" s="449"/>
      <c r="HK65" s="449"/>
      <c r="HL65" s="449"/>
      <c r="HM65" s="449"/>
      <c r="HN65" s="449"/>
      <c r="HO65" s="449"/>
      <c r="HP65" s="449"/>
      <c r="HQ65" s="449"/>
      <c r="HR65" s="449"/>
      <c r="HS65" s="449"/>
      <c r="HT65" s="449"/>
      <c r="HU65" s="449"/>
      <c r="HV65" s="449"/>
      <c r="HW65" s="449"/>
      <c r="HX65" s="449"/>
      <c r="HY65" s="449"/>
      <c r="HZ65" s="449"/>
      <c r="IA65" s="449"/>
      <c r="IB65" s="449"/>
      <c r="IC65" s="449"/>
      <c r="ID65" s="449"/>
      <c r="IE65" s="449"/>
      <c r="IF65" s="449"/>
      <c r="IG65" s="449"/>
      <c r="IH65" s="449"/>
      <c r="II65" s="449"/>
      <c r="IJ65" s="449"/>
      <c r="IK65" s="449"/>
      <c r="IL65" s="449"/>
      <c r="IM65" s="449"/>
      <c r="IN65" s="449"/>
      <c r="IO65" s="449"/>
      <c r="IP65" s="449"/>
      <c r="IQ65" s="449"/>
      <c r="IR65" s="449"/>
      <c r="IS65" s="449"/>
      <c r="IT65" s="449"/>
      <c r="IU65" s="449"/>
      <c r="IV65" s="449"/>
    </row>
    <row r="66" spans="1:256" ht="17.399999999999999">
      <c r="A66" s="449"/>
      <c r="B66" s="449"/>
      <c r="C66" s="449"/>
      <c r="D66" s="449"/>
      <c r="E66" s="449"/>
      <c r="F66" s="449"/>
      <c r="G66" s="449"/>
      <c r="H66" s="449"/>
      <c r="I66" s="449"/>
      <c r="J66" s="449"/>
      <c r="K66" s="449"/>
      <c r="L66" s="449"/>
      <c r="M66" s="449"/>
      <c r="N66" s="449"/>
      <c r="O66" s="462"/>
      <c r="P66" s="462"/>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c r="FJ66" s="449"/>
      <c r="FK66" s="449"/>
      <c r="FL66" s="449"/>
      <c r="FM66" s="449"/>
      <c r="FN66" s="449"/>
      <c r="FO66" s="449"/>
      <c r="FP66" s="449"/>
      <c r="FQ66" s="449"/>
      <c r="FR66" s="449"/>
      <c r="FS66" s="449"/>
      <c r="FT66" s="449"/>
      <c r="FU66" s="449"/>
      <c r="FV66" s="449"/>
      <c r="FW66" s="449"/>
      <c r="FX66" s="449"/>
      <c r="FY66" s="449"/>
      <c r="FZ66" s="449"/>
      <c r="GA66" s="449"/>
      <c r="GB66" s="449"/>
      <c r="GC66" s="449"/>
      <c r="GD66" s="449"/>
      <c r="GE66" s="449"/>
      <c r="GF66" s="449"/>
      <c r="GG66" s="449"/>
      <c r="GH66" s="449"/>
      <c r="GI66" s="449"/>
      <c r="GJ66" s="449"/>
      <c r="GK66" s="449"/>
      <c r="GL66" s="449"/>
      <c r="GM66" s="449"/>
      <c r="GN66" s="449"/>
      <c r="GO66" s="449"/>
      <c r="GP66" s="449"/>
      <c r="GQ66" s="449"/>
      <c r="GR66" s="449"/>
      <c r="GS66" s="449"/>
      <c r="GT66" s="449"/>
      <c r="GU66" s="449"/>
      <c r="GV66" s="449"/>
      <c r="GW66" s="449"/>
      <c r="GX66" s="449"/>
      <c r="GY66" s="449"/>
      <c r="GZ66" s="449"/>
      <c r="HA66" s="449"/>
      <c r="HB66" s="449"/>
      <c r="HC66" s="449"/>
      <c r="HD66" s="449"/>
      <c r="HE66" s="449"/>
      <c r="HF66" s="449"/>
      <c r="HG66" s="449"/>
      <c r="HH66" s="449"/>
      <c r="HI66" s="449"/>
      <c r="HJ66" s="449"/>
      <c r="HK66" s="449"/>
      <c r="HL66" s="449"/>
      <c r="HM66" s="449"/>
      <c r="HN66" s="449"/>
      <c r="HO66" s="449"/>
      <c r="HP66" s="449"/>
      <c r="HQ66" s="449"/>
      <c r="HR66" s="449"/>
      <c r="HS66" s="449"/>
      <c r="HT66" s="449"/>
      <c r="HU66" s="449"/>
      <c r="HV66" s="449"/>
      <c r="HW66" s="449"/>
      <c r="HX66" s="449"/>
      <c r="HY66" s="449"/>
      <c r="HZ66" s="449"/>
      <c r="IA66" s="449"/>
      <c r="IB66" s="449"/>
      <c r="IC66" s="449"/>
      <c r="ID66" s="449"/>
      <c r="IE66" s="449"/>
      <c r="IF66" s="449"/>
      <c r="IG66" s="449"/>
      <c r="IH66" s="449"/>
      <c r="II66" s="449"/>
      <c r="IJ66" s="449"/>
      <c r="IK66" s="449"/>
      <c r="IL66" s="449"/>
      <c r="IM66" s="449"/>
      <c r="IN66" s="449"/>
      <c r="IO66" s="449"/>
      <c r="IP66" s="449"/>
      <c r="IQ66" s="449"/>
      <c r="IR66" s="449"/>
      <c r="IS66" s="449"/>
      <c r="IT66" s="449"/>
      <c r="IU66" s="449"/>
      <c r="IV66" s="449"/>
    </row>
    <row r="67" spans="1:256" ht="20.100000000000001" customHeight="1">
      <c r="A67" s="449"/>
      <c r="B67" s="449"/>
      <c r="C67" s="467"/>
      <c r="D67" s="468"/>
      <c r="E67" s="467"/>
      <c r="F67" s="469"/>
      <c r="G67" s="467"/>
      <c r="H67" s="470"/>
      <c r="I67" s="467"/>
      <c r="J67" s="471"/>
      <c r="K67" s="467"/>
      <c r="L67" s="468"/>
      <c r="M67" s="449"/>
      <c r="N67" s="449"/>
      <c r="O67" s="462"/>
      <c r="P67" s="462"/>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49"/>
      <c r="DR67" s="449"/>
      <c r="DS67" s="449"/>
      <c r="DT67" s="449"/>
      <c r="DU67" s="449"/>
      <c r="DV67" s="449"/>
      <c r="DW67" s="449"/>
      <c r="DX67" s="449"/>
      <c r="DY67" s="449"/>
      <c r="DZ67" s="449"/>
      <c r="EA67" s="449"/>
      <c r="EB67" s="449"/>
      <c r="EC67" s="449"/>
      <c r="ED67" s="449"/>
      <c r="EE67" s="449"/>
      <c r="EF67" s="449"/>
      <c r="EG67" s="449"/>
      <c r="EH67" s="449"/>
      <c r="EI67" s="449"/>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49"/>
      <c r="FU67" s="449"/>
      <c r="FV67" s="449"/>
      <c r="FW67" s="449"/>
      <c r="FX67" s="449"/>
      <c r="FY67" s="449"/>
      <c r="FZ67" s="449"/>
      <c r="GA67" s="449"/>
      <c r="GB67" s="449"/>
      <c r="GC67" s="449"/>
      <c r="GD67" s="449"/>
      <c r="GE67" s="449"/>
      <c r="GF67" s="449"/>
      <c r="GG67" s="449"/>
      <c r="GH67" s="449"/>
      <c r="GI67" s="449"/>
      <c r="GJ67" s="449"/>
      <c r="GK67" s="449"/>
      <c r="GL67" s="449"/>
      <c r="GM67" s="449"/>
      <c r="GN67" s="449"/>
      <c r="GO67" s="449"/>
      <c r="GP67" s="449"/>
      <c r="GQ67" s="449"/>
      <c r="GR67" s="449"/>
      <c r="GS67" s="449"/>
      <c r="GT67" s="449"/>
      <c r="GU67" s="449"/>
      <c r="GV67" s="449"/>
      <c r="GW67" s="449"/>
      <c r="GX67" s="449"/>
      <c r="GY67" s="449"/>
      <c r="GZ67" s="449"/>
      <c r="HA67" s="449"/>
      <c r="HB67" s="449"/>
      <c r="HC67" s="449"/>
      <c r="HD67" s="449"/>
      <c r="HE67" s="449"/>
      <c r="HF67" s="449"/>
      <c r="HG67" s="449"/>
      <c r="HH67" s="449"/>
      <c r="HI67" s="449"/>
      <c r="HJ67" s="449"/>
      <c r="HK67" s="449"/>
      <c r="HL67" s="449"/>
      <c r="HM67" s="449"/>
      <c r="HN67" s="449"/>
      <c r="HO67" s="449"/>
      <c r="HP67" s="449"/>
      <c r="HQ67" s="449"/>
      <c r="HR67" s="449"/>
      <c r="HS67" s="449"/>
      <c r="HT67" s="449"/>
      <c r="HU67" s="449"/>
      <c r="HV67" s="449"/>
      <c r="HW67" s="449"/>
      <c r="HX67" s="449"/>
      <c r="HY67" s="449"/>
      <c r="HZ67" s="449"/>
      <c r="IA67" s="449"/>
      <c r="IB67" s="449"/>
      <c r="IC67" s="449"/>
      <c r="ID67" s="449"/>
      <c r="IE67" s="449"/>
      <c r="IF67" s="449"/>
      <c r="IG67" s="449"/>
      <c r="IH67" s="449"/>
      <c r="II67" s="449"/>
      <c r="IJ67" s="449"/>
      <c r="IK67" s="449"/>
      <c r="IL67" s="449"/>
      <c r="IM67" s="449"/>
      <c r="IN67" s="449"/>
      <c r="IO67" s="449"/>
      <c r="IP67" s="449"/>
      <c r="IQ67" s="449"/>
      <c r="IR67" s="449"/>
      <c r="IS67" s="449"/>
      <c r="IT67" s="449"/>
      <c r="IU67" s="449"/>
      <c r="IV67" s="449"/>
    </row>
    <row r="68" spans="1:256" ht="20.100000000000001" customHeight="1">
      <c r="A68" s="449"/>
      <c r="B68" s="449"/>
      <c r="C68" s="449"/>
      <c r="D68" s="468"/>
      <c r="E68" s="449"/>
      <c r="F68" s="449"/>
      <c r="G68" s="449"/>
      <c r="H68" s="470"/>
      <c r="I68" s="449"/>
      <c r="J68" s="471"/>
      <c r="K68" s="449"/>
      <c r="L68" s="468"/>
      <c r="M68" s="449"/>
      <c r="N68" s="449"/>
      <c r="O68" s="462"/>
      <c r="P68" s="462"/>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c r="CQ68" s="449"/>
      <c r="CR68" s="449"/>
      <c r="CS68" s="449"/>
      <c r="CT68" s="449"/>
      <c r="CU68" s="449"/>
      <c r="CV68" s="449"/>
      <c r="CW68" s="449"/>
      <c r="CX68" s="449"/>
      <c r="CY68" s="449"/>
      <c r="CZ68" s="449"/>
      <c r="DA68" s="449"/>
      <c r="DB68" s="449"/>
      <c r="DC68" s="449"/>
      <c r="DD68" s="449"/>
      <c r="DE68" s="449"/>
      <c r="DF68" s="449"/>
      <c r="DG68" s="449"/>
      <c r="DH68" s="449"/>
      <c r="DI68" s="449"/>
      <c r="DJ68" s="449"/>
      <c r="DK68" s="449"/>
      <c r="DL68" s="449"/>
      <c r="DM68" s="449"/>
      <c r="DN68" s="449"/>
      <c r="DO68" s="449"/>
      <c r="DP68" s="449"/>
      <c r="DQ68" s="449"/>
      <c r="DR68" s="449"/>
      <c r="DS68" s="449"/>
      <c r="DT68" s="449"/>
      <c r="DU68" s="449"/>
      <c r="DV68" s="449"/>
      <c r="DW68" s="449"/>
      <c r="DX68" s="449"/>
      <c r="DY68" s="449"/>
      <c r="DZ68" s="449"/>
      <c r="EA68" s="449"/>
      <c r="EB68" s="449"/>
      <c r="EC68" s="449"/>
      <c r="ED68" s="449"/>
      <c r="EE68" s="449"/>
      <c r="EF68" s="449"/>
      <c r="EG68" s="449"/>
      <c r="EH68" s="449"/>
      <c r="EI68" s="449"/>
      <c r="EJ68" s="449"/>
      <c r="EK68" s="449"/>
      <c r="EL68" s="449"/>
      <c r="EM68" s="449"/>
      <c r="EN68" s="449"/>
      <c r="EO68" s="449"/>
      <c r="EP68" s="449"/>
      <c r="EQ68" s="449"/>
      <c r="ER68" s="449"/>
      <c r="ES68" s="449"/>
      <c r="ET68" s="449"/>
      <c r="EU68" s="449"/>
      <c r="EV68" s="449"/>
      <c r="EW68" s="449"/>
      <c r="EX68" s="449"/>
      <c r="EY68" s="449"/>
      <c r="EZ68" s="449"/>
      <c r="FA68" s="449"/>
      <c r="FB68" s="449"/>
      <c r="FC68" s="449"/>
      <c r="FD68" s="449"/>
      <c r="FE68" s="449"/>
      <c r="FF68" s="449"/>
      <c r="FG68" s="449"/>
      <c r="FH68" s="449"/>
      <c r="FI68" s="449"/>
      <c r="FJ68" s="449"/>
      <c r="FK68" s="449"/>
      <c r="FL68" s="449"/>
      <c r="FM68" s="449"/>
      <c r="FN68" s="449"/>
      <c r="FO68" s="449"/>
      <c r="FP68" s="449"/>
      <c r="FQ68" s="449"/>
      <c r="FR68" s="449"/>
      <c r="FS68" s="449"/>
      <c r="FT68" s="449"/>
      <c r="FU68" s="449"/>
      <c r="FV68" s="449"/>
      <c r="FW68" s="449"/>
      <c r="FX68" s="449"/>
      <c r="FY68" s="449"/>
      <c r="FZ68" s="449"/>
      <c r="GA68" s="449"/>
      <c r="GB68" s="449"/>
      <c r="GC68" s="449"/>
      <c r="GD68" s="449"/>
      <c r="GE68" s="449"/>
      <c r="GF68" s="449"/>
      <c r="GG68" s="449"/>
      <c r="GH68" s="449"/>
      <c r="GI68" s="449"/>
      <c r="GJ68" s="449"/>
      <c r="GK68" s="449"/>
      <c r="GL68" s="449"/>
      <c r="GM68" s="449"/>
      <c r="GN68" s="449"/>
      <c r="GO68" s="449"/>
      <c r="GP68" s="449"/>
      <c r="GQ68" s="449"/>
      <c r="GR68" s="449"/>
      <c r="GS68" s="449"/>
      <c r="GT68" s="449"/>
      <c r="GU68" s="449"/>
      <c r="GV68" s="449"/>
      <c r="GW68" s="449"/>
      <c r="GX68" s="449"/>
      <c r="GY68" s="449"/>
      <c r="GZ68" s="449"/>
      <c r="HA68" s="449"/>
      <c r="HB68" s="449"/>
      <c r="HC68" s="449"/>
      <c r="HD68" s="449"/>
      <c r="HE68" s="449"/>
      <c r="HF68" s="449"/>
      <c r="HG68" s="449"/>
      <c r="HH68" s="449"/>
      <c r="HI68" s="449"/>
      <c r="HJ68" s="449"/>
      <c r="HK68" s="449"/>
      <c r="HL68" s="449"/>
      <c r="HM68" s="449"/>
      <c r="HN68" s="449"/>
      <c r="HO68" s="449"/>
      <c r="HP68" s="449"/>
      <c r="HQ68" s="449"/>
      <c r="HR68" s="449"/>
      <c r="HS68" s="449"/>
      <c r="HT68" s="449"/>
      <c r="HU68" s="449"/>
      <c r="HV68" s="449"/>
      <c r="HW68" s="449"/>
      <c r="HX68" s="449"/>
      <c r="HY68" s="449"/>
      <c r="HZ68" s="449"/>
      <c r="IA68" s="449"/>
      <c r="IB68" s="449"/>
      <c r="IC68" s="449"/>
      <c r="ID68" s="449"/>
      <c r="IE68" s="449"/>
      <c r="IF68" s="449"/>
      <c r="IG68" s="449"/>
      <c r="IH68" s="449"/>
      <c r="II68" s="449"/>
      <c r="IJ68" s="449"/>
      <c r="IK68" s="449"/>
      <c r="IL68" s="449"/>
      <c r="IM68" s="449"/>
      <c r="IN68" s="449"/>
      <c r="IO68" s="449"/>
      <c r="IP68" s="449"/>
      <c r="IQ68" s="449"/>
      <c r="IR68" s="449"/>
      <c r="IS68" s="449"/>
      <c r="IT68" s="449"/>
      <c r="IU68" s="449"/>
      <c r="IV68" s="449"/>
    </row>
    <row r="69" spans="1:256" ht="20.100000000000001" customHeight="1">
      <c r="A69" s="449"/>
      <c r="B69" s="449"/>
      <c r="C69" s="449"/>
      <c r="D69" s="468"/>
      <c r="E69" s="449"/>
      <c r="F69" s="449"/>
      <c r="G69" s="449"/>
      <c r="H69" s="472"/>
      <c r="I69" s="449"/>
      <c r="J69" s="471"/>
      <c r="K69" s="449"/>
      <c r="L69" s="468"/>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449"/>
      <c r="CT69" s="449"/>
      <c r="CU69" s="449"/>
      <c r="CV69" s="449"/>
      <c r="CW69" s="449"/>
      <c r="CX69" s="449"/>
      <c r="CY69" s="449"/>
      <c r="CZ69" s="449"/>
      <c r="DA69" s="449"/>
      <c r="DB69" s="449"/>
      <c r="DC69" s="449"/>
      <c r="DD69" s="449"/>
      <c r="DE69" s="449"/>
      <c r="DF69" s="449"/>
      <c r="DG69" s="449"/>
      <c r="DH69" s="449"/>
      <c r="DI69" s="449"/>
      <c r="DJ69" s="449"/>
      <c r="DK69" s="449"/>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49"/>
      <c r="EM69" s="449"/>
      <c r="EN69" s="449"/>
      <c r="EO69" s="449"/>
      <c r="EP69" s="449"/>
      <c r="EQ69" s="449"/>
      <c r="ER69" s="449"/>
      <c r="ES69" s="449"/>
      <c r="ET69" s="449"/>
      <c r="EU69" s="449"/>
      <c r="EV69" s="449"/>
      <c r="EW69" s="449"/>
      <c r="EX69" s="449"/>
      <c r="EY69" s="449"/>
      <c r="EZ69" s="449"/>
      <c r="FA69" s="449"/>
      <c r="FB69" s="449"/>
      <c r="FC69" s="449"/>
      <c r="FD69" s="449"/>
      <c r="FE69" s="449"/>
      <c r="FF69" s="449"/>
      <c r="FG69" s="449"/>
      <c r="FH69" s="449"/>
      <c r="FI69" s="449"/>
      <c r="FJ69" s="449"/>
      <c r="FK69" s="449"/>
      <c r="FL69" s="449"/>
      <c r="FM69" s="449"/>
      <c r="FN69" s="449"/>
      <c r="FO69" s="449"/>
      <c r="FP69" s="449"/>
      <c r="FQ69" s="449"/>
      <c r="FR69" s="449"/>
      <c r="FS69" s="449"/>
      <c r="FT69" s="449"/>
      <c r="FU69" s="449"/>
      <c r="FV69" s="449"/>
      <c r="FW69" s="449"/>
      <c r="FX69" s="449"/>
      <c r="FY69" s="449"/>
      <c r="FZ69" s="449"/>
      <c r="GA69" s="449"/>
      <c r="GB69" s="449"/>
      <c r="GC69" s="449"/>
      <c r="GD69" s="449"/>
      <c r="GE69" s="449"/>
      <c r="GF69" s="449"/>
      <c r="GG69" s="449"/>
      <c r="GH69" s="449"/>
      <c r="GI69" s="449"/>
      <c r="GJ69" s="449"/>
      <c r="GK69" s="449"/>
      <c r="GL69" s="449"/>
      <c r="GM69" s="449"/>
      <c r="GN69" s="449"/>
      <c r="GO69" s="449"/>
      <c r="GP69" s="449"/>
      <c r="GQ69" s="449"/>
      <c r="GR69" s="449"/>
      <c r="GS69" s="449"/>
      <c r="GT69" s="449"/>
      <c r="GU69" s="449"/>
      <c r="GV69" s="449"/>
      <c r="GW69" s="449"/>
      <c r="GX69" s="449"/>
      <c r="GY69" s="449"/>
      <c r="GZ69" s="449"/>
      <c r="HA69" s="449"/>
      <c r="HB69" s="449"/>
      <c r="HC69" s="449"/>
      <c r="HD69" s="449"/>
      <c r="HE69" s="449"/>
      <c r="HF69" s="449"/>
      <c r="HG69" s="449"/>
      <c r="HH69" s="449"/>
      <c r="HI69" s="449"/>
      <c r="HJ69" s="449"/>
      <c r="HK69" s="449"/>
      <c r="HL69" s="449"/>
      <c r="HM69" s="449"/>
      <c r="HN69" s="449"/>
      <c r="HO69" s="449"/>
      <c r="HP69" s="449"/>
      <c r="HQ69" s="449"/>
      <c r="HR69" s="449"/>
      <c r="HS69" s="449"/>
      <c r="HT69" s="449"/>
      <c r="HU69" s="449"/>
      <c r="HV69" s="449"/>
      <c r="HW69" s="449"/>
      <c r="HX69" s="449"/>
      <c r="HY69" s="449"/>
      <c r="HZ69" s="449"/>
      <c r="IA69" s="449"/>
      <c r="IB69" s="449"/>
      <c r="IC69" s="449"/>
      <c r="ID69" s="449"/>
      <c r="IE69" s="449"/>
      <c r="IF69" s="449"/>
      <c r="IG69" s="449"/>
      <c r="IH69" s="449"/>
      <c r="II69" s="449"/>
      <c r="IJ69" s="449"/>
      <c r="IK69" s="449"/>
      <c r="IL69" s="449"/>
      <c r="IM69" s="449"/>
      <c r="IN69" s="449"/>
      <c r="IO69" s="449"/>
      <c r="IP69" s="449"/>
      <c r="IQ69" s="449"/>
      <c r="IR69" s="449"/>
      <c r="IS69" s="449"/>
      <c r="IT69" s="449"/>
      <c r="IU69" s="449"/>
      <c r="IV69" s="449"/>
    </row>
    <row r="70" spans="1:256" ht="20.100000000000001" customHeight="1">
      <c r="A70" s="449"/>
      <c r="B70" s="449"/>
      <c r="C70" s="449"/>
      <c r="D70" s="468"/>
      <c r="E70" s="449"/>
      <c r="F70" s="449"/>
      <c r="G70" s="449"/>
      <c r="H70" s="470"/>
      <c r="I70" s="449"/>
      <c r="J70" s="471"/>
      <c r="K70" s="449"/>
      <c r="L70" s="468"/>
      <c r="M70" s="449"/>
      <c r="N70" s="449"/>
      <c r="O70" s="462"/>
      <c r="P70" s="462"/>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c r="CQ70" s="449"/>
      <c r="CR70" s="449"/>
      <c r="CS70" s="449"/>
      <c r="CT70" s="449"/>
      <c r="CU70" s="449"/>
      <c r="CV70" s="449"/>
      <c r="CW70" s="449"/>
      <c r="CX70" s="449"/>
      <c r="CY70" s="449"/>
      <c r="CZ70" s="449"/>
      <c r="DA70" s="449"/>
      <c r="DB70" s="449"/>
      <c r="DC70" s="449"/>
      <c r="DD70" s="449"/>
      <c r="DE70" s="449"/>
      <c r="DF70" s="449"/>
      <c r="DG70" s="449"/>
      <c r="DH70" s="449"/>
      <c r="DI70" s="449"/>
      <c r="DJ70" s="449"/>
      <c r="DK70" s="449"/>
      <c r="DL70" s="449"/>
      <c r="DM70" s="449"/>
      <c r="DN70" s="449"/>
      <c r="DO70" s="449"/>
      <c r="DP70" s="449"/>
      <c r="DQ70" s="449"/>
      <c r="DR70" s="449"/>
      <c r="DS70" s="449"/>
      <c r="DT70" s="449"/>
      <c r="DU70" s="449"/>
      <c r="DV70" s="449"/>
      <c r="DW70" s="449"/>
      <c r="DX70" s="449"/>
      <c r="DY70" s="449"/>
      <c r="DZ70" s="449"/>
      <c r="EA70" s="449"/>
      <c r="EB70" s="449"/>
      <c r="EC70" s="449"/>
      <c r="ED70" s="449"/>
      <c r="EE70" s="449"/>
      <c r="EF70" s="449"/>
      <c r="EG70" s="449"/>
      <c r="EH70" s="449"/>
      <c r="EI70" s="449"/>
      <c r="EJ70" s="449"/>
      <c r="EK70" s="449"/>
      <c r="EL70" s="449"/>
      <c r="EM70" s="449"/>
      <c r="EN70" s="449"/>
      <c r="EO70" s="449"/>
      <c r="EP70" s="449"/>
      <c r="EQ70" s="449"/>
      <c r="ER70" s="449"/>
      <c r="ES70" s="449"/>
      <c r="ET70" s="449"/>
      <c r="EU70" s="449"/>
      <c r="EV70" s="449"/>
      <c r="EW70" s="449"/>
      <c r="EX70" s="449"/>
      <c r="EY70" s="449"/>
      <c r="EZ70" s="449"/>
      <c r="FA70" s="449"/>
      <c r="FB70" s="449"/>
      <c r="FC70" s="449"/>
      <c r="FD70" s="449"/>
      <c r="FE70" s="449"/>
      <c r="FF70" s="449"/>
      <c r="FG70" s="449"/>
      <c r="FH70" s="449"/>
      <c r="FI70" s="449"/>
      <c r="FJ70" s="449"/>
      <c r="FK70" s="449"/>
      <c r="FL70" s="449"/>
      <c r="FM70" s="449"/>
      <c r="FN70" s="449"/>
      <c r="FO70" s="449"/>
      <c r="FP70" s="449"/>
      <c r="FQ70" s="449"/>
      <c r="FR70" s="449"/>
      <c r="FS70" s="449"/>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row>
    <row r="71" spans="1:256" ht="20.100000000000001" customHeight="1">
      <c r="A71" s="449"/>
      <c r="B71" s="449"/>
      <c r="C71" s="449"/>
      <c r="D71" s="468"/>
      <c r="E71" s="449"/>
      <c r="F71" s="449"/>
      <c r="G71" s="449"/>
      <c r="H71" s="470"/>
      <c r="I71" s="449"/>
      <c r="J71" s="471"/>
      <c r="K71" s="449"/>
      <c r="L71" s="468"/>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c r="CN71" s="449"/>
      <c r="CO71" s="449"/>
      <c r="CP71" s="449"/>
      <c r="CQ71" s="449"/>
      <c r="CR71" s="449"/>
      <c r="CS71" s="449"/>
      <c r="CT71" s="449"/>
      <c r="CU71" s="449"/>
      <c r="CV71" s="449"/>
      <c r="CW71" s="449"/>
      <c r="CX71" s="449"/>
      <c r="CY71" s="449"/>
      <c r="CZ71" s="449"/>
      <c r="DA71" s="449"/>
      <c r="DB71" s="449"/>
      <c r="DC71" s="449"/>
      <c r="DD71" s="449"/>
      <c r="DE71" s="449"/>
      <c r="DF71" s="449"/>
      <c r="DG71" s="449"/>
      <c r="DH71" s="449"/>
      <c r="DI71" s="449"/>
      <c r="DJ71" s="449"/>
      <c r="DK71" s="449"/>
      <c r="DL71" s="449"/>
      <c r="DM71" s="449"/>
      <c r="DN71" s="449"/>
      <c r="DO71" s="449"/>
      <c r="DP71" s="449"/>
      <c r="DQ71" s="449"/>
      <c r="DR71" s="449"/>
      <c r="DS71" s="449"/>
      <c r="DT71" s="449"/>
      <c r="DU71" s="449"/>
      <c r="DV71" s="449"/>
      <c r="DW71" s="449"/>
      <c r="DX71" s="449"/>
      <c r="DY71" s="449"/>
      <c r="DZ71" s="449"/>
      <c r="EA71" s="449"/>
      <c r="EB71" s="449"/>
      <c r="EC71" s="449"/>
      <c r="ED71" s="449"/>
      <c r="EE71" s="449"/>
      <c r="EF71" s="449"/>
      <c r="EG71" s="449"/>
      <c r="EH71" s="449"/>
      <c r="EI71" s="449"/>
      <c r="EJ71" s="449"/>
      <c r="EK71" s="449"/>
      <c r="EL71" s="449"/>
      <c r="EM71" s="449"/>
      <c r="EN71" s="449"/>
      <c r="EO71" s="449"/>
      <c r="EP71" s="449"/>
      <c r="EQ71" s="449"/>
      <c r="ER71" s="449"/>
      <c r="ES71" s="449"/>
      <c r="ET71" s="449"/>
      <c r="EU71" s="449"/>
      <c r="EV71" s="449"/>
      <c r="EW71" s="449"/>
      <c r="EX71" s="449"/>
      <c r="EY71" s="449"/>
      <c r="EZ71" s="449"/>
      <c r="FA71" s="449"/>
      <c r="FB71" s="449"/>
      <c r="FC71" s="449"/>
      <c r="FD71" s="449"/>
      <c r="FE71" s="449"/>
      <c r="FF71" s="449"/>
      <c r="FG71" s="449"/>
      <c r="FH71" s="449"/>
      <c r="FI71" s="449"/>
      <c r="FJ71" s="449"/>
      <c r="FK71" s="449"/>
      <c r="FL71" s="449"/>
      <c r="FM71" s="449"/>
      <c r="FN71" s="449"/>
      <c r="FO71" s="449"/>
      <c r="FP71" s="449"/>
      <c r="FQ71" s="449"/>
      <c r="FR71" s="449"/>
      <c r="FS71" s="449"/>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row>
    <row r="72" spans="1:256" ht="20.100000000000001" customHeight="1">
      <c r="A72" s="449"/>
      <c r="B72" s="449"/>
      <c r="C72" s="449"/>
      <c r="D72" s="468"/>
      <c r="E72" s="449"/>
      <c r="F72" s="449"/>
      <c r="G72" s="449"/>
      <c r="H72" s="473"/>
      <c r="I72" s="449"/>
      <c r="J72" s="471"/>
      <c r="K72" s="449"/>
      <c r="L72" s="468"/>
      <c r="M72" s="449"/>
      <c r="N72" s="449"/>
      <c r="O72" s="462"/>
      <c r="P72" s="462"/>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c r="CN72" s="449"/>
      <c r="CO72" s="449"/>
      <c r="CP72" s="449"/>
      <c r="CQ72" s="449"/>
      <c r="CR72" s="449"/>
      <c r="CS72" s="449"/>
      <c r="CT72" s="449"/>
      <c r="CU72" s="449"/>
      <c r="CV72" s="449"/>
      <c r="CW72" s="449"/>
      <c r="CX72" s="449"/>
      <c r="CY72" s="449"/>
      <c r="CZ72" s="449"/>
      <c r="DA72" s="449"/>
      <c r="DB72" s="449"/>
      <c r="DC72" s="449"/>
      <c r="DD72" s="449"/>
      <c r="DE72" s="449"/>
      <c r="DF72" s="449"/>
      <c r="DG72" s="449"/>
      <c r="DH72" s="449"/>
      <c r="DI72" s="449"/>
      <c r="DJ72" s="449"/>
      <c r="DK72" s="449"/>
      <c r="DL72" s="449"/>
      <c r="DM72" s="449"/>
      <c r="DN72" s="449"/>
      <c r="DO72" s="449"/>
      <c r="DP72" s="449"/>
      <c r="DQ72" s="449"/>
      <c r="DR72" s="449"/>
      <c r="DS72" s="449"/>
      <c r="DT72" s="449"/>
      <c r="DU72" s="449"/>
      <c r="DV72" s="449"/>
      <c r="DW72" s="449"/>
      <c r="DX72" s="449"/>
      <c r="DY72" s="449"/>
      <c r="DZ72" s="449"/>
      <c r="EA72" s="449"/>
      <c r="EB72" s="449"/>
      <c r="EC72" s="449"/>
      <c r="ED72" s="449"/>
      <c r="EE72" s="449"/>
      <c r="EF72" s="449"/>
      <c r="EG72" s="449"/>
      <c r="EH72" s="449"/>
      <c r="EI72" s="449"/>
      <c r="EJ72" s="449"/>
      <c r="EK72" s="449"/>
      <c r="EL72" s="449"/>
      <c r="EM72" s="449"/>
      <c r="EN72" s="449"/>
      <c r="EO72" s="449"/>
      <c r="EP72" s="449"/>
      <c r="EQ72" s="449"/>
      <c r="ER72" s="449"/>
      <c r="ES72" s="449"/>
      <c r="ET72" s="449"/>
      <c r="EU72" s="449"/>
      <c r="EV72" s="449"/>
      <c r="EW72" s="449"/>
      <c r="EX72" s="449"/>
      <c r="EY72" s="449"/>
      <c r="EZ72" s="449"/>
      <c r="FA72" s="449"/>
      <c r="FB72" s="449"/>
      <c r="FC72" s="449"/>
      <c r="FD72" s="449"/>
      <c r="FE72" s="449"/>
      <c r="FF72" s="449"/>
      <c r="FG72" s="449"/>
      <c r="FH72" s="449"/>
      <c r="FI72" s="449"/>
      <c r="FJ72" s="449"/>
      <c r="FK72" s="449"/>
      <c r="FL72" s="449"/>
      <c r="FM72" s="449"/>
      <c r="FN72" s="449"/>
      <c r="FO72" s="449"/>
      <c r="FP72" s="449"/>
      <c r="FQ72" s="449"/>
      <c r="FR72" s="449"/>
      <c r="FS72" s="449"/>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row>
    <row r="73" spans="1:256" ht="17.399999999999999">
      <c r="A73" s="703"/>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449"/>
      <c r="CR73" s="449"/>
      <c r="CS73" s="449"/>
      <c r="CT73" s="449"/>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49"/>
      <c r="EJ73" s="449"/>
      <c r="EK73" s="449"/>
      <c r="EL73" s="449"/>
      <c r="EM73" s="449"/>
      <c r="EN73" s="449"/>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449"/>
      <c r="FK73" s="449"/>
      <c r="FL73" s="449"/>
      <c r="FM73" s="449"/>
      <c r="FN73" s="449"/>
      <c r="FO73" s="449"/>
      <c r="FP73" s="449"/>
      <c r="FQ73" s="449"/>
      <c r="FR73" s="449"/>
      <c r="FS73" s="449"/>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row>
    <row r="74" spans="1:256" ht="17.399999999999999">
      <c r="A74" s="474"/>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49"/>
      <c r="CR74" s="449"/>
      <c r="CS74" s="449"/>
      <c r="CT74" s="449"/>
      <c r="CU74" s="449"/>
      <c r="CV74" s="449"/>
      <c r="CW74" s="449"/>
      <c r="CX74" s="449"/>
      <c r="CY74" s="449"/>
      <c r="CZ74" s="449"/>
      <c r="DA74" s="449"/>
      <c r="DB74" s="449"/>
      <c r="DC74" s="449"/>
      <c r="DD74" s="449"/>
      <c r="DE74" s="449"/>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49"/>
      <c r="FN74" s="449"/>
      <c r="FO74" s="449"/>
      <c r="FP74" s="449"/>
      <c r="FQ74" s="449"/>
      <c r="FR74" s="449"/>
      <c r="FS74" s="449"/>
      <c r="FT74" s="449"/>
      <c r="FU74" s="449"/>
      <c r="FV74" s="449"/>
      <c r="FW74" s="449"/>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row>
    <row r="75" spans="1:256" ht="17.399999999999999">
      <c r="A75" s="449"/>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c r="CN75" s="449"/>
      <c r="CO75" s="449"/>
      <c r="CP75" s="449"/>
      <c r="CQ75" s="449"/>
      <c r="CR75" s="449"/>
      <c r="CS75" s="449"/>
      <c r="CT75" s="449"/>
      <c r="CU75" s="449"/>
      <c r="CV75" s="449"/>
      <c r="CW75" s="449"/>
      <c r="CX75" s="449"/>
      <c r="CY75" s="449"/>
      <c r="CZ75" s="449"/>
      <c r="DA75" s="449"/>
      <c r="DB75" s="449"/>
      <c r="DC75" s="449"/>
      <c r="DD75" s="449"/>
      <c r="DE75" s="449"/>
      <c r="DF75" s="449"/>
      <c r="DG75" s="449"/>
      <c r="DH75" s="449"/>
      <c r="DI75" s="449"/>
      <c r="DJ75" s="449"/>
      <c r="DK75" s="449"/>
      <c r="DL75" s="449"/>
      <c r="DM75" s="449"/>
      <c r="DN75" s="449"/>
      <c r="DO75" s="449"/>
      <c r="DP75" s="449"/>
      <c r="DQ75" s="449"/>
      <c r="DR75" s="449"/>
      <c r="DS75" s="449"/>
      <c r="DT75" s="449"/>
      <c r="DU75" s="449"/>
      <c r="DV75" s="449"/>
      <c r="DW75" s="449"/>
      <c r="DX75" s="449"/>
      <c r="DY75" s="449"/>
      <c r="DZ75" s="449"/>
      <c r="EA75" s="449"/>
      <c r="EB75" s="449"/>
      <c r="EC75" s="449"/>
      <c r="ED75" s="449"/>
      <c r="EE75" s="449"/>
      <c r="EF75" s="449"/>
      <c r="EG75" s="449"/>
      <c r="EH75" s="449"/>
      <c r="EI75" s="449"/>
      <c r="EJ75" s="449"/>
      <c r="EK75" s="449"/>
      <c r="EL75" s="449"/>
      <c r="EM75" s="449"/>
      <c r="EN75" s="449"/>
      <c r="EO75" s="449"/>
      <c r="EP75" s="449"/>
      <c r="EQ75" s="449"/>
      <c r="ER75" s="449"/>
      <c r="ES75" s="449"/>
      <c r="ET75" s="449"/>
      <c r="EU75" s="449"/>
      <c r="EV75" s="449"/>
      <c r="EW75" s="449"/>
      <c r="EX75" s="449"/>
      <c r="EY75" s="449"/>
      <c r="EZ75" s="449"/>
      <c r="FA75" s="449"/>
      <c r="FB75" s="449"/>
      <c r="FC75" s="449"/>
      <c r="FD75" s="449"/>
      <c r="FE75" s="449"/>
      <c r="FF75" s="449"/>
      <c r="FG75" s="449"/>
      <c r="FH75" s="449"/>
      <c r="FI75" s="449"/>
      <c r="FJ75" s="449"/>
      <c r="FK75" s="449"/>
      <c r="FL75" s="449"/>
      <c r="FM75" s="449"/>
      <c r="FN75" s="449"/>
      <c r="FO75" s="449"/>
      <c r="FP75" s="449"/>
      <c r="FQ75" s="449"/>
      <c r="FR75" s="449"/>
      <c r="FS75" s="449"/>
      <c r="FT75" s="449"/>
      <c r="FU75" s="449"/>
      <c r="FV75" s="449"/>
      <c r="FW75" s="449"/>
      <c r="FX75" s="449"/>
      <c r="FY75" s="449"/>
      <c r="FZ75" s="449"/>
      <c r="GA75" s="449"/>
      <c r="GB75" s="449"/>
      <c r="GC75" s="449"/>
      <c r="GD75" s="449"/>
      <c r="GE75" s="449"/>
      <c r="GF75" s="449"/>
      <c r="GG75" s="449"/>
      <c r="GH75" s="449"/>
      <c r="GI75" s="449"/>
      <c r="GJ75" s="449"/>
      <c r="GK75" s="449"/>
      <c r="GL75" s="449"/>
      <c r="GM75" s="449"/>
      <c r="GN75" s="449"/>
      <c r="GO75" s="449"/>
      <c r="GP75" s="449"/>
      <c r="GQ75" s="449"/>
      <c r="GR75" s="449"/>
      <c r="GS75" s="449"/>
      <c r="GT75" s="449"/>
      <c r="GU75" s="449"/>
      <c r="GV75" s="449"/>
      <c r="GW75" s="449"/>
      <c r="GX75" s="449"/>
      <c r="GY75" s="449"/>
      <c r="GZ75" s="449"/>
      <c r="HA75" s="449"/>
      <c r="HB75" s="449"/>
      <c r="HC75" s="449"/>
      <c r="HD75" s="449"/>
      <c r="HE75" s="449"/>
      <c r="HF75" s="449"/>
      <c r="HG75" s="449"/>
      <c r="HH75" s="449"/>
      <c r="HI75" s="449"/>
      <c r="HJ75" s="449"/>
      <c r="HK75" s="449"/>
      <c r="HL75" s="449"/>
      <c r="HM75" s="449"/>
      <c r="HN75" s="449"/>
      <c r="HO75" s="449"/>
      <c r="HP75" s="449"/>
      <c r="HQ75" s="449"/>
      <c r="HR75" s="449"/>
      <c r="HS75" s="449"/>
      <c r="HT75" s="449"/>
      <c r="HU75" s="449"/>
      <c r="HV75" s="449"/>
      <c r="HW75" s="449"/>
      <c r="HX75" s="449"/>
      <c r="HY75" s="449"/>
      <c r="HZ75" s="449"/>
      <c r="IA75" s="449"/>
      <c r="IB75" s="449"/>
      <c r="IC75" s="449"/>
      <c r="ID75" s="449"/>
      <c r="IE75" s="449"/>
      <c r="IF75" s="449"/>
      <c r="IG75" s="449"/>
      <c r="IH75" s="449"/>
      <c r="II75" s="449"/>
      <c r="IJ75" s="449"/>
      <c r="IK75" s="449"/>
      <c r="IL75" s="449"/>
      <c r="IM75" s="449"/>
      <c r="IN75" s="449"/>
      <c r="IO75" s="449"/>
      <c r="IP75" s="449"/>
      <c r="IQ75" s="449"/>
      <c r="IR75" s="449"/>
      <c r="IS75" s="449"/>
      <c r="IT75" s="449"/>
      <c r="IU75" s="449"/>
      <c r="IV75" s="449"/>
    </row>
    <row r="76" spans="1:256" ht="17.399999999999999">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c r="CN76" s="449"/>
      <c r="CO76" s="449"/>
      <c r="CP76" s="449"/>
      <c r="CQ76" s="449"/>
      <c r="CR76" s="449"/>
      <c r="CS76" s="449"/>
      <c r="CT76" s="449"/>
      <c r="CU76" s="449"/>
      <c r="CV76" s="449"/>
      <c r="CW76" s="449"/>
      <c r="CX76" s="449"/>
      <c r="CY76" s="449"/>
      <c r="CZ76" s="449"/>
      <c r="DA76" s="449"/>
      <c r="DB76" s="449"/>
      <c r="DC76" s="449"/>
      <c r="DD76" s="449"/>
      <c r="DE76" s="449"/>
      <c r="DF76" s="449"/>
      <c r="DG76" s="449"/>
      <c r="DH76" s="449"/>
      <c r="DI76" s="449"/>
      <c r="DJ76" s="449"/>
      <c r="DK76" s="449"/>
      <c r="DL76" s="449"/>
      <c r="DM76" s="449"/>
      <c r="DN76" s="449"/>
      <c r="DO76" s="449"/>
      <c r="DP76" s="449"/>
      <c r="DQ76" s="449"/>
      <c r="DR76" s="449"/>
      <c r="DS76" s="449"/>
      <c r="DT76" s="449"/>
      <c r="DU76" s="449"/>
      <c r="DV76" s="449"/>
      <c r="DW76" s="449"/>
      <c r="DX76" s="449"/>
      <c r="DY76" s="449"/>
      <c r="DZ76" s="449"/>
      <c r="EA76" s="449"/>
      <c r="EB76" s="449"/>
      <c r="EC76" s="449"/>
      <c r="ED76" s="449"/>
      <c r="EE76" s="449"/>
      <c r="EF76" s="449"/>
      <c r="EG76" s="449"/>
      <c r="EH76" s="449"/>
      <c r="EI76" s="449"/>
      <c r="EJ76" s="449"/>
      <c r="EK76" s="449"/>
      <c r="EL76" s="449"/>
      <c r="EM76" s="449"/>
      <c r="EN76" s="449"/>
      <c r="EO76" s="449"/>
      <c r="EP76" s="449"/>
      <c r="EQ76" s="449"/>
      <c r="ER76" s="449"/>
      <c r="ES76" s="449"/>
      <c r="ET76" s="449"/>
      <c r="EU76" s="449"/>
      <c r="EV76" s="449"/>
      <c r="EW76" s="449"/>
      <c r="EX76" s="449"/>
      <c r="EY76" s="449"/>
      <c r="EZ76" s="449"/>
      <c r="FA76" s="449"/>
      <c r="FB76" s="449"/>
      <c r="FC76" s="449"/>
      <c r="FD76" s="449"/>
      <c r="FE76" s="449"/>
      <c r="FF76" s="449"/>
      <c r="FG76" s="449"/>
      <c r="FH76" s="449"/>
      <c r="FI76" s="449"/>
      <c r="FJ76" s="449"/>
      <c r="FK76" s="449"/>
      <c r="FL76" s="449"/>
      <c r="FM76" s="449"/>
      <c r="FN76" s="449"/>
      <c r="FO76" s="449"/>
      <c r="FP76" s="449"/>
      <c r="FQ76" s="449"/>
      <c r="FR76" s="449"/>
      <c r="FS76" s="449"/>
      <c r="FT76" s="449"/>
      <c r="FU76" s="449"/>
      <c r="FV76" s="449"/>
      <c r="FW76" s="449"/>
      <c r="FX76" s="449"/>
      <c r="FY76" s="449"/>
      <c r="FZ76" s="449"/>
      <c r="GA76" s="449"/>
      <c r="GB76" s="449"/>
      <c r="GC76" s="449"/>
      <c r="GD76" s="449"/>
      <c r="GE76" s="449"/>
      <c r="GF76" s="449"/>
      <c r="GG76" s="449"/>
      <c r="GH76" s="449"/>
      <c r="GI76" s="449"/>
      <c r="GJ76" s="449"/>
      <c r="GK76" s="449"/>
      <c r="GL76" s="449"/>
      <c r="GM76" s="449"/>
      <c r="GN76" s="449"/>
      <c r="GO76" s="449"/>
      <c r="GP76" s="449"/>
      <c r="GQ76" s="449"/>
      <c r="GR76" s="449"/>
      <c r="GS76" s="449"/>
      <c r="GT76" s="449"/>
      <c r="GU76" s="449"/>
      <c r="GV76" s="449"/>
      <c r="GW76" s="449"/>
      <c r="GX76" s="449"/>
      <c r="GY76" s="449"/>
      <c r="GZ76" s="449"/>
      <c r="HA76" s="449"/>
      <c r="HB76" s="449"/>
      <c r="HC76" s="449"/>
      <c r="HD76" s="449"/>
      <c r="HE76" s="449"/>
      <c r="HF76" s="449"/>
      <c r="HG76" s="449"/>
      <c r="HH76" s="449"/>
      <c r="HI76" s="449"/>
      <c r="HJ76" s="449"/>
      <c r="HK76" s="449"/>
      <c r="HL76" s="449"/>
      <c r="HM76" s="449"/>
      <c r="HN76" s="449"/>
      <c r="HO76" s="449"/>
      <c r="HP76" s="449"/>
      <c r="HQ76" s="449"/>
      <c r="HR76" s="449"/>
      <c r="HS76" s="449"/>
      <c r="HT76" s="449"/>
      <c r="HU76" s="449"/>
      <c r="HV76" s="449"/>
      <c r="HW76" s="449"/>
      <c r="HX76" s="449"/>
      <c r="HY76" s="449"/>
      <c r="HZ76" s="449"/>
      <c r="IA76" s="449"/>
      <c r="IB76" s="449"/>
      <c r="IC76" s="449"/>
      <c r="ID76" s="449"/>
      <c r="IE76" s="449"/>
      <c r="IF76" s="449"/>
      <c r="IG76" s="449"/>
      <c r="IH76" s="449"/>
      <c r="II76" s="449"/>
      <c r="IJ76" s="449"/>
      <c r="IK76" s="449"/>
      <c r="IL76" s="449"/>
      <c r="IM76" s="449"/>
      <c r="IN76" s="449"/>
      <c r="IO76" s="449"/>
      <c r="IP76" s="449"/>
      <c r="IQ76" s="449"/>
      <c r="IR76" s="449"/>
      <c r="IS76" s="449"/>
      <c r="IT76" s="449"/>
      <c r="IU76" s="449"/>
      <c r="IV76" s="449"/>
    </row>
    <row r="77" spans="1:256" ht="17.399999999999999">
      <c r="A77" s="449"/>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C77" s="449"/>
      <c r="DD77" s="449"/>
      <c r="DE77" s="449"/>
      <c r="DF77" s="449"/>
      <c r="DG77" s="449"/>
      <c r="DH77" s="449"/>
      <c r="DI77" s="449"/>
      <c r="DJ77" s="449"/>
      <c r="DK77" s="449"/>
      <c r="DL77" s="449"/>
      <c r="DM77" s="449"/>
      <c r="DN77" s="449"/>
      <c r="DO77" s="449"/>
      <c r="DP77" s="449"/>
      <c r="DQ77" s="449"/>
      <c r="DR77" s="449"/>
      <c r="DS77" s="449"/>
      <c r="DT77" s="449"/>
      <c r="DU77" s="449"/>
      <c r="DV77" s="449"/>
      <c r="DW77" s="449"/>
      <c r="DX77" s="449"/>
      <c r="DY77" s="449"/>
      <c r="DZ77" s="449"/>
      <c r="EA77" s="449"/>
      <c r="EB77" s="449"/>
      <c r="EC77" s="449"/>
      <c r="ED77" s="449"/>
      <c r="EE77" s="449"/>
      <c r="EF77" s="449"/>
      <c r="EG77" s="449"/>
      <c r="EH77" s="449"/>
      <c r="EI77" s="449"/>
      <c r="EJ77" s="449"/>
      <c r="EK77" s="449"/>
      <c r="EL77" s="449"/>
      <c r="EM77" s="449"/>
      <c r="EN77" s="449"/>
      <c r="EO77" s="449"/>
      <c r="EP77" s="449"/>
      <c r="EQ77" s="449"/>
      <c r="ER77" s="449"/>
      <c r="ES77" s="449"/>
      <c r="ET77" s="449"/>
      <c r="EU77" s="449"/>
      <c r="EV77" s="449"/>
      <c r="EW77" s="449"/>
      <c r="EX77" s="449"/>
      <c r="EY77" s="449"/>
      <c r="EZ77" s="449"/>
      <c r="FA77" s="449"/>
      <c r="FB77" s="449"/>
      <c r="FC77" s="449"/>
      <c r="FD77" s="449"/>
      <c r="FE77" s="449"/>
      <c r="FF77" s="449"/>
      <c r="FG77" s="449"/>
      <c r="FH77" s="449"/>
      <c r="FI77" s="449"/>
      <c r="FJ77" s="449"/>
      <c r="FK77" s="449"/>
      <c r="FL77" s="449"/>
      <c r="FM77" s="449"/>
      <c r="FN77" s="449"/>
      <c r="FO77" s="449"/>
      <c r="FP77" s="449"/>
      <c r="FQ77" s="449"/>
      <c r="FR77" s="449"/>
      <c r="FS77" s="449"/>
      <c r="FT77" s="449"/>
      <c r="FU77" s="449"/>
      <c r="FV77" s="449"/>
      <c r="FW77" s="449"/>
      <c r="FX77" s="449"/>
      <c r="FY77" s="449"/>
      <c r="FZ77" s="449"/>
      <c r="GA77" s="449"/>
      <c r="GB77" s="449"/>
      <c r="GC77" s="449"/>
      <c r="GD77" s="449"/>
      <c r="GE77" s="449"/>
      <c r="GF77" s="449"/>
      <c r="GG77" s="449"/>
      <c r="GH77" s="449"/>
      <c r="GI77" s="449"/>
      <c r="GJ77" s="449"/>
      <c r="GK77" s="449"/>
      <c r="GL77" s="449"/>
      <c r="GM77" s="449"/>
      <c r="GN77" s="449"/>
      <c r="GO77" s="449"/>
      <c r="GP77" s="449"/>
      <c r="GQ77" s="449"/>
      <c r="GR77" s="449"/>
      <c r="GS77" s="449"/>
      <c r="GT77" s="449"/>
      <c r="GU77" s="449"/>
      <c r="GV77" s="449"/>
      <c r="GW77" s="449"/>
      <c r="GX77" s="449"/>
      <c r="GY77" s="449"/>
      <c r="GZ77" s="449"/>
      <c r="HA77" s="449"/>
      <c r="HB77" s="449"/>
      <c r="HC77" s="449"/>
      <c r="HD77" s="449"/>
      <c r="HE77" s="449"/>
      <c r="HF77" s="449"/>
      <c r="HG77" s="449"/>
      <c r="HH77" s="449"/>
      <c r="HI77" s="449"/>
      <c r="HJ77" s="449"/>
      <c r="HK77" s="449"/>
      <c r="HL77" s="449"/>
      <c r="HM77" s="449"/>
      <c r="HN77" s="449"/>
      <c r="HO77" s="449"/>
      <c r="HP77" s="449"/>
      <c r="HQ77" s="449"/>
      <c r="HR77" s="449"/>
      <c r="HS77" s="449"/>
      <c r="HT77" s="449"/>
      <c r="HU77" s="449"/>
      <c r="HV77" s="449"/>
      <c r="HW77" s="449"/>
      <c r="HX77" s="449"/>
      <c r="HY77" s="449"/>
      <c r="HZ77" s="449"/>
      <c r="IA77" s="449"/>
      <c r="IB77" s="449"/>
      <c r="IC77" s="449"/>
      <c r="ID77" s="449"/>
      <c r="IE77" s="449"/>
      <c r="IF77" s="449"/>
      <c r="IG77" s="449"/>
      <c r="IH77" s="449"/>
      <c r="II77" s="449"/>
      <c r="IJ77" s="449"/>
      <c r="IK77" s="449"/>
      <c r="IL77" s="449"/>
      <c r="IM77" s="449"/>
      <c r="IN77" s="449"/>
      <c r="IO77" s="449"/>
      <c r="IP77" s="449"/>
      <c r="IQ77" s="449"/>
      <c r="IR77" s="449"/>
      <c r="IS77" s="449"/>
      <c r="IT77" s="449"/>
      <c r="IU77" s="449"/>
      <c r="IV77" s="449"/>
    </row>
    <row r="78" spans="1:256" ht="17.399999999999999">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49"/>
      <c r="CR78" s="449"/>
      <c r="CS78" s="449"/>
      <c r="CT78" s="449"/>
      <c r="CU78" s="449"/>
      <c r="CV78" s="449"/>
      <c r="CW78" s="449"/>
      <c r="CX78" s="449"/>
      <c r="CY78" s="449"/>
      <c r="CZ78" s="449"/>
      <c r="DA78" s="449"/>
      <c r="DB78" s="449"/>
      <c r="DC78" s="449"/>
      <c r="DD78" s="449"/>
      <c r="DE78" s="449"/>
      <c r="DF78" s="449"/>
      <c r="DG78" s="449"/>
      <c r="DH78" s="449"/>
      <c r="DI78" s="449"/>
      <c r="DJ78" s="449"/>
      <c r="DK78" s="449"/>
      <c r="DL78" s="449"/>
      <c r="DM78" s="449"/>
      <c r="DN78" s="449"/>
      <c r="DO78" s="449"/>
      <c r="DP78" s="449"/>
      <c r="DQ78" s="449"/>
      <c r="DR78" s="449"/>
      <c r="DS78" s="449"/>
      <c r="DT78" s="449"/>
      <c r="DU78" s="449"/>
      <c r="DV78" s="449"/>
      <c r="DW78" s="449"/>
      <c r="DX78" s="449"/>
      <c r="DY78" s="449"/>
      <c r="DZ78" s="449"/>
      <c r="EA78" s="449"/>
      <c r="EB78" s="449"/>
      <c r="EC78" s="449"/>
      <c r="ED78" s="449"/>
      <c r="EE78" s="449"/>
      <c r="EF78" s="449"/>
      <c r="EG78" s="449"/>
      <c r="EH78" s="449"/>
      <c r="EI78" s="449"/>
      <c r="EJ78" s="449"/>
      <c r="EK78" s="449"/>
      <c r="EL78" s="449"/>
      <c r="EM78" s="449"/>
      <c r="EN78" s="449"/>
      <c r="EO78" s="449"/>
      <c r="EP78" s="449"/>
      <c r="EQ78" s="449"/>
      <c r="ER78" s="449"/>
      <c r="ES78" s="449"/>
      <c r="ET78" s="449"/>
      <c r="EU78" s="449"/>
      <c r="EV78" s="449"/>
      <c r="EW78" s="449"/>
      <c r="EX78" s="449"/>
      <c r="EY78" s="449"/>
      <c r="EZ78" s="449"/>
      <c r="FA78" s="449"/>
      <c r="FB78" s="449"/>
      <c r="FC78" s="449"/>
      <c r="FD78" s="449"/>
      <c r="FE78" s="449"/>
      <c r="FF78" s="449"/>
      <c r="FG78" s="449"/>
      <c r="FH78" s="449"/>
      <c r="FI78" s="449"/>
      <c r="FJ78" s="449"/>
      <c r="FK78" s="449"/>
      <c r="FL78" s="449"/>
      <c r="FM78" s="449"/>
      <c r="FN78" s="449"/>
      <c r="FO78" s="449"/>
      <c r="FP78" s="449"/>
      <c r="FQ78" s="449"/>
      <c r="FR78" s="449"/>
      <c r="FS78" s="449"/>
      <c r="FT78" s="449"/>
      <c r="FU78" s="449"/>
      <c r="FV78" s="449"/>
      <c r="FW78" s="449"/>
      <c r="FX78" s="449"/>
      <c r="FY78" s="449"/>
      <c r="FZ78" s="449"/>
      <c r="GA78" s="449"/>
      <c r="GB78" s="449"/>
      <c r="GC78" s="449"/>
      <c r="GD78" s="449"/>
      <c r="GE78" s="449"/>
      <c r="GF78" s="449"/>
      <c r="GG78" s="449"/>
      <c r="GH78" s="449"/>
      <c r="GI78" s="449"/>
      <c r="GJ78" s="449"/>
      <c r="GK78" s="449"/>
      <c r="GL78" s="449"/>
      <c r="GM78" s="449"/>
      <c r="GN78" s="449"/>
      <c r="GO78" s="449"/>
      <c r="GP78" s="449"/>
      <c r="GQ78" s="449"/>
      <c r="GR78" s="449"/>
      <c r="GS78" s="449"/>
      <c r="GT78" s="449"/>
      <c r="GU78" s="449"/>
      <c r="GV78" s="449"/>
      <c r="GW78" s="449"/>
      <c r="GX78" s="449"/>
      <c r="GY78" s="449"/>
      <c r="GZ78" s="449"/>
      <c r="HA78" s="449"/>
      <c r="HB78" s="449"/>
      <c r="HC78" s="449"/>
      <c r="HD78" s="449"/>
      <c r="HE78" s="449"/>
      <c r="HF78" s="449"/>
      <c r="HG78" s="449"/>
      <c r="HH78" s="449"/>
      <c r="HI78" s="449"/>
      <c r="HJ78" s="449"/>
      <c r="HK78" s="449"/>
      <c r="HL78" s="449"/>
      <c r="HM78" s="449"/>
      <c r="HN78" s="449"/>
      <c r="HO78" s="449"/>
      <c r="HP78" s="449"/>
      <c r="HQ78" s="449"/>
      <c r="HR78" s="449"/>
      <c r="HS78" s="449"/>
      <c r="HT78" s="449"/>
      <c r="HU78" s="449"/>
      <c r="HV78" s="449"/>
      <c r="HW78" s="449"/>
      <c r="HX78" s="449"/>
      <c r="HY78" s="449"/>
      <c r="HZ78" s="449"/>
      <c r="IA78" s="449"/>
      <c r="IB78" s="449"/>
      <c r="IC78" s="449"/>
      <c r="ID78" s="449"/>
      <c r="IE78" s="449"/>
      <c r="IF78" s="449"/>
      <c r="IG78" s="449"/>
      <c r="IH78" s="449"/>
      <c r="II78" s="449"/>
      <c r="IJ78" s="449"/>
      <c r="IK78" s="449"/>
      <c r="IL78" s="449"/>
      <c r="IM78" s="449"/>
      <c r="IN78" s="449"/>
      <c r="IO78" s="449"/>
      <c r="IP78" s="449"/>
      <c r="IQ78" s="449"/>
      <c r="IR78" s="449"/>
      <c r="IS78" s="449"/>
      <c r="IT78" s="449"/>
      <c r="IU78" s="449"/>
      <c r="IV78" s="449"/>
    </row>
    <row r="79" spans="1:256" ht="17.399999999999999">
      <c r="A79" s="449"/>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c r="DA79" s="449"/>
      <c r="DB79" s="449"/>
      <c r="DC79" s="449"/>
      <c r="DD79" s="449"/>
      <c r="DE79" s="449"/>
      <c r="DF79" s="449"/>
      <c r="DG79" s="449"/>
      <c r="DH79" s="449"/>
      <c r="DI79" s="449"/>
      <c r="DJ79" s="449"/>
      <c r="DK79" s="449"/>
      <c r="DL79" s="449"/>
      <c r="DM79" s="449"/>
      <c r="DN79" s="449"/>
      <c r="DO79" s="449"/>
      <c r="DP79" s="449"/>
      <c r="DQ79" s="449"/>
      <c r="DR79" s="449"/>
      <c r="DS79" s="449"/>
      <c r="DT79" s="449"/>
      <c r="DU79" s="449"/>
      <c r="DV79" s="449"/>
      <c r="DW79" s="449"/>
      <c r="DX79" s="449"/>
      <c r="DY79" s="449"/>
      <c r="DZ79" s="449"/>
      <c r="EA79" s="449"/>
      <c r="EB79" s="449"/>
      <c r="EC79" s="449"/>
      <c r="ED79" s="449"/>
      <c r="EE79" s="449"/>
      <c r="EF79" s="449"/>
      <c r="EG79" s="449"/>
      <c r="EH79" s="449"/>
      <c r="EI79" s="449"/>
      <c r="EJ79" s="449"/>
      <c r="EK79" s="449"/>
      <c r="EL79" s="449"/>
      <c r="EM79" s="449"/>
      <c r="EN79" s="449"/>
      <c r="EO79" s="449"/>
      <c r="EP79" s="449"/>
      <c r="EQ79" s="449"/>
      <c r="ER79" s="449"/>
      <c r="ES79" s="449"/>
      <c r="ET79" s="449"/>
      <c r="EU79" s="449"/>
      <c r="EV79" s="449"/>
      <c r="EW79" s="449"/>
      <c r="EX79" s="449"/>
      <c r="EY79" s="449"/>
      <c r="EZ79" s="449"/>
      <c r="FA79" s="449"/>
      <c r="FB79" s="449"/>
      <c r="FC79" s="449"/>
      <c r="FD79" s="449"/>
      <c r="FE79" s="449"/>
      <c r="FF79" s="449"/>
      <c r="FG79" s="449"/>
      <c r="FH79" s="449"/>
      <c r="FI79" s="449"/>
      <c r="FJ79" s="449"/>
      <c r="FK79" s="449"/>
      <c r="FL79" s="449"/>
      <c r="FM79" s="449"/>
      <c r="FN79" s="449"/>
      <c r="FO79" s="449"/>
      <c r="FP79" s="449"/>
      <c r="FQ79" s="449"/>
      <c r="FR79" s="449"/>
      <c r="FS79" s="449"/>
      <c r="FT79" s="449"/>
      <c r="FU79" s="449"/>
      <c r="FV79" s="449"/>
      <c r="FW79" s="449"/>
      <c r="FX79" s="449"/>
      <c r="FY79" s="449"/>
      <c r="FZ79" s="449"/>
      <c r="GA79" s="449"/>
      <c r="GB79" s="449"/>
      <c r="GC79" s="449"/>
      <c r="GD79" s="449"/>
      <c r="GE79" s="449"/>
      <c r="GF79" s="449"/>
      <c r="GG79" s="449"/>
      <c r="GH79" s="449"/>
      <c r="GI79" s="449"/>
      <c r="GJ79" s="449"/>
      <c r="GK79" s="449"/>
      <c r="GL79" s="449"/>
      <c r="GM79" s="449"/>
      <c r="GN79" s="449"/>
      <c r="GO79" s="449"/>
      <c r="GP79" s="449"/>
      <c r="GQ79" s="449"/>
      <c r="GR79" s="449"/>
      <c r="GS79" s="449"/>
      <c r="GT79" s="449"/>
      <c r="GU79" s="449"/>
      <c r="GV79" s="449"/>
      <c r="GW79" s="449"/>
      <c r="GX79" s="449"/>
      <c r="GY79" s="449"/>
      <c r="GZ79" s="449"/>
      <c r="HA79" s="449"/>
      <c r="HB79" s="449"/>
      <c r="HC79" s="449"/>
      <c r="HD79" s="449"/>
      <c r="HE79" s="449"/>
      <c r="HF79" s="449"/>
      <c r="HG79" s="449"/>
      <c r="HH79" s="449"/>
      <c r="HI79" s="449"/>
      <c r="HJ79" s="449"/>
      <c r="HK79" s="449"/>
      <c r="HL79" s="449"/>
      <c r="HM79" s="449"/>
      <c r="HN79" s="449"/>
      <c r="HO79" s="449"/>
      <c r="HP79" s="449"/>
      <c r="HQ79" s="449"/>
      <c r="HR79" s="449"/>
      <c r="HS79" s="449"/>
      <c r="HT79" s="449"/>
      <c r="HU79" s="449"/>
      <c r="HV79" s="449"/>
      <c r="HW79" s="449"/>
      <c r="HX79" s="449"/>
      <c r="HY79" s="449"/>
      <c r="HZ79" s="449"/>
      <c r="IA79" s="449"/>
      <c r="IB79" s="449"/>
      <c r="IC79" s="449"/>
      <c r="ID79" s="449"/>
      <c r="IE79" s="449"/>
      <c r="IF79" s="449"/>
      <c r="IG79" s="449"/>
      <c r="IH79" s="449"/>
      <c r="II79" s="449"/>
      <c r="IJ79" s="449"/>
      <c r="IK79" s="449"/>
      <c r="IL79" s="449"/>
      <c r="IM79" s="449"/>
      <c r="IN79" s="449"/>
      <c r="IO79" s="449"/>
      <c r="IP79" s="449"/>
      <c r="IQ79" s="449"/>
      <c r="IR79" s="449"/>
      <c r="IS79" s="449"/>
      <c r="IT79" s="449"/>
      <c r="IU79" s="449"/>
      <c r="IV79" s="449"/>
    </row>
    <row r="80" spans="1:256" ht="17.399999999999999">
      <c r="A80" s="703"/>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c r="DA80" s="449"/>
      <c r="DB80" s="449"/>
      <c r="DC80" s="449"/>
      <c r="DD80" s="449"/>
      <c r="DE80" s="449"/>
      <c r="DF80" s="449"/>
      <c r="DG80" s="449"/>
      <c r="DH80" s="449"/>
      <c r="DI80" s="449"/>
      <c r="DJ80" s="449"/>
      <c r="DK80" s="449"/>
      <c r="DL80" s="449"/>
      <c r="DM80" s="449"/>
      <c r="DN80" s="449"/>
      <c r="DO80" s="449"/>
      <c r="DP80" s="449"/>
      <c r="DQ80" s="449"/>
      <c r="DR80" s="449"/>
      <c r="DS80" s="449"/>
      <c r="DT80" s="449"/>
      <c r="DU80" s="449"/>
      <c r="DV80" s="449"/>
      <c r="DW80" s="449"/>
      <c r="DX80" s="449"/>
      <c r="DY80" s="449"/>
      <c r="DZ80" s="449"/>
      <c r="EA80" s="449"/>
      <c r="EB80" s="449"/>
      <c r="EC80" s="449"/>
      <c r="ED80" s="449"/>
      <c r="EE80" s="449"/>
      <c r="EF80" s="449"/>
      <c r="EG80" s="449"/>
      <c r="EH80" s="449"/>
      <c r="EI80" s="449"/>
      <c r="EJ80" s="449"/>
      <c r="EK80" s="449"/>
      <c r="EL80" s="449"/>
      <c r="EM80" s="449"/>
      <c r="EN80" s="449"/>
      <c r="EO80" s="449"/>
      <c r="EP80" s="449"/>
      <c r="EQ80" s="449"/>
      <c r="ER80" s="449"/>
      <c r="ES80" s="449"/>
      <c r="ET80" s="449"/>
      <c r="EU80" s="449"/>
      <c r="EV80" s="449"/>
      <c r="EW80" s="449"/>
      <c r="EX80" s="449"/>
      <c r="EY80" s="449"/>
      <c r="EZ80" s="449"/>
      <c r="FA80" s="449"/>
      <c r="FB80" s="449"/>
      <c r="FC80" s="449"/>
      <c r="FD80" s="449"/>
      <c r="FE80" s="449"/>
      <c r="FF80" s="449"/>
      <c r="FG80" s="449"/>
      <c r="FH80" s="449"/>
      <c r="FI80" s="449"/>
      <c r="FJ80" s="449"/>
      <c r="FK80" s="449"/>
      <c r="FL80" s="449"/>
      <c r="FM80" s="449"/>
      <c r="FN80" s="449"/>
      <c r="FO80" s="449"/>
      <c r="FP80" s="449"/>
      <c r="FQ80" s="449"/>
      <c r="FR80" s="449"/>
      <c r="FS80" s="449"/>
      <c r="FT80" s="449"/>
      <c r="FU80" s="449"/>
      <c r="FV80" s="449"/>
      <c r="FW80" s="449"/>
      <c r="FX80" s="449"/>
      <c r="FY80" s="449"/>
      <c r="FZ80" s="449"/>
      <c r="GA80" s="449"/>
      <c r="GB80" s="449"/>
      <c r="GC80" s="449"/>
      <c r="GD80" s="449"/>
      <c r="GE80" s="449"/>
      <c r="GF80" s="449"/>
      <c r="GG80" s="449"/>
      <c r="GH80" s="449"/>
      <c r="GI80" s="449"/>
      <c r="GJ80" s="449"/>
      <c r="GK80" s="449"/>
      <c r="GL80" s="449"/>
      <c r="GM80" s="449"/>
      <c r="GN80" s="449"/>
      <c r="GO80" s="449"/>
      <c r="GP80" s="449"/>
      <c r="GQ80" s="449"/>
      <c r="GR80" s="449"/>
      <c r="GS80" s="449"/>
      <c r="GT80" s="449"/>
      <c r="GU80" s="449"/>
      <c r="GV80" s="449"/>
      <c r="GW80" s="449"/>
      <c r="GX80" s="449"/>
      <c r="GY80" s="449"/>
      <c r="GZ80" s="449"/>
      <c r="HA80" s="449"/>
      <c r="HB80" s="449"/>
      <c r="HC80" s="449"/>
      <c r="HD80" s="449"/>
      <c r="HE80" s="449"/>
      <c r="HF80" s="449"/>
      <c r="HG80" s="449"/>
      <c r="HH80" s="449"/>
      <c r="HI80" s="449"/>
      <c r="HJ80" s="449"/>
      <c r="HK80" s="449"/>
      <c r="HL80" s="449"/>
      <c r="HM80" s="449"/>
      <c r="HN80" s="449"/>
      <c r="HO80" s="449"/>
      <c r="HP80" s="449"/>
      <c r="HQ80" s="449"/>
      <c r="HR80" s="449"/>
      <c r="HS80" s="449"/>
      <c r="HT80" s="449"/>
      <c r="HU80" s="449"/>
      <c r="HV80" s="449"/>
      <c r="HW80" s="449"/>
      <c r="HX80" s="449"/>
      <c r="HY80" s="449"/>
      <c r="HZ80" s="449"/>
      <c r="IA80" s="449"/>
      <c r="IB80" s="449"/>
      <c r="IC80" s="449"/>
      <c r="ID80" s="449"/>
      <c r="IE80" s="449"/>
      <c r="IF80" s="449"/>
      <c r="IG80" s="449"/>
      <c r="IH80" s="449"/>
      <c r="II80" s="449"/>
      <c r="IJ80" s="449"/>
      <c r="IK80" s="449"/>
      <c r="IL80" s="449"/>
      <c r="IM80" s="449"/>
      <c r="IN80" s="449"/>
      <c r="IO80" s="449"/>
      <c r="IP80" s="449"/>
      <c r="IQ80" s="449"/>
      <c r="IR80" s="449"/>
      <c r="IS80" s="449"/>
      <c r="IT80" s="449"/>
      <c r="IU80" s="449"/>
      <c r="IV80" s="449"/>
    </row>
    <row r="81" spans="1:256" s="449" customFormat="1" ht="17.399999999999999"/>
    <row r="82" spans="1:256" ht="17.399999999999999">
      <c r="A82" s="449"/>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c r="DA82" s="449"/>
      <c r="DB82" s="449"/>
      <c r="DC82" s="449"/>
      <c r="DD82" s="449"/>
      <c r="DE82" s="449"/>
      <c r="DF82" s="449"/>
      <c r="DG82" s="449"/>
      <c r="DH82" s="449"/>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49"/>
      <c r="EG82" s="449"/>
      <c r="EH82" s="449"/>
      <c r="EI82" s="449"/>
      <c r="EJ82" s="449"/>
      <c r="EK82" s="449"/>
      <c r="EL82" s="449"/>
      <c r="EM82" s="449"/>
      <c r="EN82" s="449"/>
      <c r="EO82" s="449"/>
      <c r="EP82" s="449"/>
      <c r="EQ82" s="449"/>
      <c r="ER82" s="449"/>
      <c r="ES82" s="449"/>
      <c r="ET82" s="449"/>
      <c r="EU82" s="449"/>
      <c r="EV82" s="449"/>
      <c r="EW82" s="449"/>
      <c r="EX82" s="449"/>
      <c r="EY82" s="449"/>
      <c r="EZ82" s="449"/>
      <c r="FA82" s="449"/>
      <c r="FB82" s="449"/>
      <c r="FC82" s="449"/>
      <c r="FD82" s="449"/>
      <c r="FE82" s="449"/>
      <c r="FF82" s="449"/>
      <c r="FG82" s="449"/>
      <c r="FH82" s="449"/>
      <c r="FI82" s="449"/>
      <c r="FJ82" s="449"/>
      <c r="FK82" s="449"/>
      <c r="FL82" s="449"/>
      <c r="FM82" s="449"/>
      <c r="FN82" s="449"/>
      <c r="FO82" s="449"/>
      <c r="FP82" s="449"/>
      <c r="FQ82" s="449"/>
      <c r="FR82" s="449"/>
      <c r="FS82" s="449"/>
      <c r="FT82" s="449"/>
      <c r="FU82" s="449"/>
      <c r="FV82" s="449"/>
      <c r="FW82" s="449"/>
      <c r="FX82" s="449"/>
      <c r="FY82" s="449"/>
      <c r="FZ82" s="449"/>
      <c r="GA82" s="449"/>
      <c r="GB82" s="449"/>
      <c r="GC82" s="449"/>
      <c r="GD82" s="449"/>
      <c r="GE82" s="449"/>
      <c r="GF82" s="449"/>
      <c r="GG82" s="449"/>
      <c r="GH82" s="449"/>
      <c r="GI82" s="449"/>
      <c r="GJ82" s="449"/>
      <c r="GK82" s="449"/>
      <c r="GL82" s="449"/>
      <c r="GM82" s="449"/>
      <c r="GN82" s="449"/>
      <c r="GO82" s="449"/>
      <c r="GP82" s="449"/>
      <c r="GQ82" s="449"/>
      <c r="GR82" s="449"/>
      <c r="GS82" s="449"/>
      <c r="GT82" s="449"/>
      <c r="GU82" s="449"/>
      <c r="GV82" s="449"/>
      <c r="GW82" s="449"/>
      <c r="GX82" s="449"/>
      <c r="GY82" s="449"/>
      <c r="GZ82" s="449"/>
      <c r="HA82" s="449"/>
      <c r="HB82" s="449"/>
      <c r="HC82" s="449"/>
      <c r="HD82" s="449"/>
      <c r="HE82" s="449"/>
      <c r="HF82" s="449"/>
      <c r="HG82" s="449"/>
      <c r="HH82" s="449"/>
      <c r="HI82" s="449"/>
      <c r="HJ82" s="449"/>
      <c r="HK82" s="449"/>
      <c r="HL82" s="449"/>
      <c r="HM82" s="449"/>
      <c r="HN82" s="449"/>
      <c r="HO82" s="449"/>
      <c r="HP82" s="449"/>
      <c r="HQ82" s="449"/>
      <c r="HR82" s="449"/>
      <c r="HS82" s="449"/>
      <c r="HT82" s="449"/>
      <c r="HU82" s="449"/>
      <c r="HV82" s="449"/>
      <c r="HW82" s="449"/>
      <c r="HX82" s="449"/>
      <c r="HY82" s="449"/>
      <c r="HZ82" s="449"/>
      <c r="IA82" s="449"/>
      <c r="IB82" s="449"/>
      <c r="IC82" s="449"/>
      <c r="ID82" s="449"/>
      <c r="IE82" s="449"/>
      <c r="IF82" s="449"/>
      <c r="IG82" s="449"/>
      <c r="IH82" s="449"/>
      <c r="II82" s="449"/>
      <c r="IJ82" s="449"/>
      <c r="IK82" s="449"/>
      <c r="IL82" s="449"/>
      <c r="IM82" s="449"/>
      <c r="IN82" s="449"/>
      <c r="IO82" s="449"/>
      <c r="IP82" s="449"/>
      <c r="IQ82" s="449"/>
      <c r="IR82" s="449"/>
      <c r="IS82" s="449"/>
      <c r="IT82" s="449"/>
      <c r="IU82" s="449"/>
      <c r="IV82" s="449"/>
    </row>
    <row r="83" spans="1:256" s="449" customFormat="1" ht="17.399999999999999"/>
    <row r="84" spans="1:256" s="449" customFormat="1" ht="17.399999999999999"/>
    <row r="85" spans="1:256" s="449" customFormat="1" ht="17.399999999999999"/>
    <row r="86" spans="1:256" ht="17.399999999999999">
      <c r="A86" s="449"/>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9"/>
      <c r="FM86" s="449"/>
      <c r="FN86" s="449"/>
      <c r="FO86" s="449"/>
      <c r="FP86" s="449"/>
      <c r="FQ86" s="449"/>
      <c r="FR86" s="449"/>
      <c r="FS86" s="449"/>
      <c r="FT86" s="449"/>
      <c r="FU86" s="449"/>
      <c r="FV86" s="449"/>
      <c r="FW86" s="449"/>
      <c r="FX86" s="449"/>
      <c r="FY86" s="449"/>
      <c r="FZ86" s="449"/>
      <c r="GA86" s="449"/>
      <c r="GB86" s="449"/>
      <c r="GC86" s="449"/>
      <c r="GD86" s="449"/>
      <c r="GE86" s="449"/>
      <c r="GF86" s="449"/>
      <c r="GG86" s="449"/>
      <c r="GH86" s="449"/>
      <c r="GI86" s="449"/>
      <c r="GJ86" s="449"/>
      <c r="GK86" s="449"/>
      <c r="GL86" s="449"/>
      <c r="GM86" s="449"/>
      <c r="GN86" s="449"/>
      <c r="GO86" s="449"/>
      <c r="GP86" s="449"/>
      <c r="GQ86" s="449"/>
      <c r="GR86" s="449"/>
      <c r="GS86" s="449"/>
      <c r="GT86" s="449"/>
      <c r="GU86" s="449"/>
      <c r="GV86" s="449"/>
      <c r="GW86" s="449"/>
      <c r="GX86" s="449"/>
      <c r="GY86" s="449"/>
      <c r="GZ86" s="449"/>
      <c r="HA86" s="449"/>
      <c r="HB86" s="449"/>
      <c r="HC86" s="449"/>
      <c r="HD86" s="449"/>
      <c r="HE86" s="449"/>
      <c r="HF86" s="449"/>
      <c r="HG86" s="449"/>
      <c r="HH86" s="449"/>
      <c r="HI86" s="449"/>
      <c r="HJ86" s="449"/>
      <c r="HK86" s="449"/>
      <c r="HL86" s="449"/>
      <c r="HM86" s="449"/>
      <c r="HN86" s="449"/>
      <c r="HO86" s="449"/>
      <c r="HP86" s="449"/>
      <c r="HQ86" s="449"/>
      <c r="HR86" s="449"/>
      <c r="HS86" s="449"/>
      <c r="HT86" s="449"/>
      <c r="HU86" s="449"/>
      <c r="HV86" s="449"/>
      <c r="HW86" s="449"/>
      <c r="HX86" s="449"/>
      <c r="HY86" s="449"/>
      <c r="HZ86" s="449"/>
      <c r="IA86" s="449"/>
      <c r="IB86" s="449"/>
      <c r="IC86" s="449"/>
      <c r="ID86" s="449"/>
      <c r="IE86" s="449"/>
      <c r="IF86" s="449"/>
      <c r="IG86" s="449"/>
      <c r="IH86" s="449"/>
      <c r="II86" s="449"/>
      <c r="IJ86" s="449"/>
      <c r="IK86" s="449"/>
      <c r="IL86" s="449"/>
      <c r="IM86" s="449"/>
      <c r="IN86" s="449"/>
      <c r="IO86" s="449"/>
      <c r="IP86" s="449"/>
      <c r="IQ86" s="449"/>
      <c r="IR86" s="449"/>
      <c r="IS86" s="449"/>
      <c r="IT86" s="449"/>
      <c r="IU86" s="449"/>
      <c r="IV86" s="449"/>
    </row>
    <row r="87" spans="1:256" s="449" customFormat="1" ht="17.399999999999999"/>
    <row r="88" spans="1:256" s="449" customFormat="1" ht="17.399999999999999"/>
    <row r="89" spans="1:256" s="449" customFormat="1" ht="17.399999999999999"/>
    <row r="90" spans="1:256" s="449" customFormat="1" ht="17.399999999999999"/>
    <row r="91" spans="1:256" s="449" customFormat="1" ht="17.399999999999999"/>
    <row r="92" spans="1:256" s="449" customFormat="1" ht="17.399999999999999"/>
    <row r="93" spans="1:256" s="449" customFormat="1" ht="17.399999999999999"/>
    <row r="94" spans="1:256" s="449" customFormat="1" ht="17.399999999999999"/>
    <row r="95" spans="1:256" s="449" customFormat="1" ht="17.399999999999999"/>
    <row r="96" spans="1:256" s="449" customFormat="1" ht="17.399999999999999"/>
    <row r="97" s="449" customFormat="1" ht="17.399999999999999"/>
    <row r="98" s="449" customFormat="1" ht="17.399999999999999"/>
    <row r="99" s="449" customFormat="1" ht="17.399999999999999"/>
    <row r="100" s="449" customFormat="1" ht="17.399999999999999"/>
    <row r="101" s="449" customFormat="1" ht="17.399999999999999"/>
    <row r="102" s="449" customFormat="1" ht="17.399999999999999"/>
    <row r="103" s="449" customFormat="1" ht="17.399999999999999"/>
    <row r="104" s="449" customFormat="1" ht="17.399999999999999"/>
    <row r="105" s="449" customFormat="1" ht="17.399999999999999"/>
    <row r="106" s="449" customFormat="1" ht="17.399999999999999"/>
    <row r="107" s="449" customFormat="1" ht="17.399999999999999"/>
    <row r="108" s="449" customFormat="1" ht="17.399999999999999"/>
    <row r="109" s="449" customFormat="1" ht="17.399999999999999"/>
    <row r="110" s="449" customFormat="1" ht="17.399999999999999"/>
    <row r="111" s="449" customFormat="1" ht="17.399999999999999"/>
    <row r="112" s="449" customFormat="1" ht="17.399999999999999"/>
    <row r="113" s="449" customFormat="1" ht="17.399999999999999"/>
    <row r="114" s="449" customFormat="1" ht="17.399999999999999"/>
    <row r="115" s="449" customFormat="1" ht="17.399999999999999"/>
    <row r="116" s="449" customFormat="1" ht="17.399999999999999"/>
    <row r="117" s="449" customFormat="1" ht="17.399999999999999"/>
    <row r="118" s="449" customFormat="1" ht="17.399999999999999"/>
    <row r="119" s="449" customFormat="1" ht="17.399999999999999"/>
    <row r="120" s="449" customFormat="1" ht="17.399999999999999"/>
    <row r="121" s="449" customFormat="1" ht="17.399999999999999"/>
    <row r="122" s="449" customFormat="1" ht="17.399999999999999"/>
    <row r="123" s="449" customFormat="1" ht="17.399999999999999"/>
    <row r="124" s="449" customFormat="1" ht="17.399999999999999"/>
    <row r="125" s="449" customFormat="1" ht="17.399999999999999"/>
    <row r="126" s="449" customFormat="1" ht="17.399999999999999"/>
    <row r="127" s="449" customFormat="1" ht="17.399999999999999"/>
    <row r="128" s="449" customFormat="1" ht="17.399999999999999"/>
    <row r="129" s="449" customFormat="1" ht="17.399999999999999"/>
    <row r="130" s="449" customFormat="1" ht="17.399999999999999"/>
    <row r="131" s="449" customFormat="1" ht="17.399999999999999"/>
    <row r="132" s="449" customFormat="1" ht="17.399999999999999"/>
    <row r="133" s="449" customFormat="1" ht="17.399999999999999"/>
    <row r="134" s="449" customFormat="1" ht="17.399999999999999"/>
    <row r="135" s="449" customFormat="1" ht="17.399999999999999"/>
    <row r="136" s="449" customFormat="1" ht="17.399999999999999"/>
  </sheetData>
  <pageMargins left="0.5" right="0.5" top="0.5" bottom="0.5" header="0" footer="0.25"/>
  <pageSetup scale="56"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70" workbookViewId="0"/>
  </sheetViews>
  <sheetFormatPr defaultColWidth="8.81640625" defaultRowHeight="13.2"/>
  <cols>
    <col min="1" max="1" width="53.54296875" style="1877" customWidth="1"/>
    <col min="2" max="2" width="1.81640625" style="1877" customWidth="1"/>
    <col min="3" max="3" width="2.81640625" style="1877" customWidth="1"/>
    <col min="4" max="4" width="20.08984375" style="1877" customWidth="1"/>
    <col min="5" max="5" width="7.81640625" style="1877" customWidth="1"/>
    <col min="6" max="6" width="18.81640625" style="1877" customWidth="1"/>
    <col min="7" max="7" width="7.81640625" style="1877" customWidth="1"/>
    <col min="8" max="8" width="18.81640625" style="1877" customWidth="1"/>
    <col min="9" max="9" width="7.81640625" style="1877" customWidth="1"/>
    <col min="10" max="10" width="21.81640625" style="1877" customWidth="1"/>
    <col min="11" max="11" width="10.81640625" style="1877" customWidth="1"/>
    <col min="12" max="16384" width="8.81640625" style="1877"/>
  </cols>
  <sheetData>
    <row r="1" spans="1:10" ht="15">
      <c r="A1" s="635" t="s">
        <v>881</v>
      </c>
    </row>
    <row r="2" spans="1:10" ht="15">
      <c r="A2" s="1878"/>
    </row>
    <row r="3" spans="1:10" ht="17.399999999999999">
      <c r="A3" s="1879" t="s">
        <v>0</v>
      </c>
      <c r="B3" s="1880"/>
      <c r="C3" s="1880"/>
      <c r="D3" s="1880"/>
      <c r="E3" s="1880"/>
      <c r="F3" s="1880"/>
      <c r="G3" s="1879"/>
      <c r="H3" s="1879"/>
      <c r="I3" s="1879"/>
      <c r="J3" s="1882" t="s">
        <v>382</v>
      </c>
    </row>
    <row r="4" spans="1:10" ht="17.399999999999999">
      <c r="A4" s="1879" t="s">
        <v>383</v>
      </c>
      <c r="B4" s="1880"/>
      <c r="C4" s="1879"/>
      <c r="D4" s="1880"/>
      <c r="E4" s="1880"/>
      <c r="F4" s="1880"/>
      <c r="G4" s="1879"/>
      <c r="H4" s="1879"/>
      <c r="I4" s="1879"/>
      <c r="J4" s="1879"/>
    </row>
    <row r="5" spans="1:10" ht="17.399999999999999">
      <c r="A5" s="1879" t="s">
        <v>384</v>
      </c>
      <c r="B5" s="1880"/>
      <c r="C5" s="1879"/>
      <c r="D5" s="1880"/>
      <c r="E5" s="1880"/>
      <c r="F5" s="1880"/>
      <c r="G5" s="1879"/>
      <c r="H5" s="1879"/>
      <c r="I5" s="1879"/>
      <c r="J5" s="1879"/>
    </row>
    <row r="6" spans="1:10" ht="17.399999999999999">
      <c r="A6" s="1879" t="str">
        <f>'Sch 3 '!A6</f>
        <v>FISCAL YEAR 2021-2022</v>
      </c>
      <c r="B6" s="1880"/>
      <c r="C6" s="1879"/>
      <c r="D6" s="1880"/>
      <c r="E6" s="1880"/>
      <c r="F6" s="1880"/>
      <c r="G6" s="1879"/>
      <c r="H6" s="1879"/>
      <c r="I6" s="1879"/>
      <c r="J6" s="1879"/>
    </row>
    <row r="7" spans="1:10" ht="17.399999999999999">
      <c r="A7" s="1881" t="str">
        <f>'Sch 3 '!A7</f>
        <v>FOR THE MONTH OF JANUARY 2022</v>
      </c>
      <c r="B7" s="1880"/>
      <c r="C7" s="1879"/>
      <c r="D7" s="3027"/>
      <c r="E7" s="1880"/>
      <c r="F7" s="1880"/>
      <c r="G7" s="1879"/>
      <c r="H7" s="1879"/>
      <c r="I7" s="1879"/>
      <c r="J7" s="1879"/>
    </row>
    <row r="8" spans="1:10" ht="17.399999999999999">
      <c r="A8" s="1879" t="s">
        <v>1263</v>
      </c>
      <c r="B8" s="1880"/>
      <c r="C8" s="1879"/>
      <c r="D8" s="3027"/>
      <c r="E8" s="1880"/>
      <c r="F8" s="1880"/>
      <c r="G8" s="1879"/>
      <c r="H8" s="1879"/>
      <c r="I8" s="1879"/>
      <c r="J8" s="1879"/>
    </row>
    <row r="9" spans="1:10" ht="17.399999999999999">
      <c r="A9" s="1879"/>
      <c r="B9" s="1880"/>
      <c r="C9" s="1879"/>
      <c r="D9" s="3027"/>
      <c r="E9" s="1880"/>
      <c r="F9" s="1880"/>
      <c r="G9" s="1879"/>
      <c r="H9" s="1879"/>
      <c r="I9" s="1879"/>
      <c r="J9" s="1879"/>
    </row>
    <row r="10" spans="1:10" ht="17.399999999999999">
      <c r="A10" s="1879"/>
      <c r="B10" s="1879"/>
      <c r="C10" s="1879"/>
      <c r="D10" s="3028"/>
      <c r="E10" s="1879"/>
      <c r="F10" s="1879"/>
      <c r="G10" s="1879"/>
      <c r="H10" s="1879"/>
      <c r="I10" s="1879"/>
      <c r="J10" s="1879"/>
    </row>
    <row r="11" spans="1:10" ht="17.399999999999999">
      <c r="A11" s="1879"/>
      <c r="B11" s="1879"/>
      <c r="C11" s="1879"/>
      <c r="D11" s="3029"/>
      <c r="E11" s="1879"/>
      <c r="F11" s="1879"/>
      <c r="G11" s="1879"/>
      <c r="H11" s="1879"/>
      <c r="I11" s="1879"/>
      <c r="J11" s="1882"/>
    </row>
    <row r="12" spans="1:10" ht="17.399999999999999">
      <c r="A12" s="1879"/>
      <c r="B12" s="1879"/>
      <c r="C12" s="1879"/>
      <c r="D12" s="3029" t="s">
        <v>232</v>
      </c>
      <c r="E12" s="1879"/>
      <c r="F12" s="1879"/>
      <c r="G12" s="1879"/>
      <c r="H12" s="1879"/>
      <c r="I12" s="1879"/>
      <c r="J12" s="1882" t="s">
        <v>232</v>
      </c>
    </row>
    <row r="13" spans="1:10" ht="17.399999999999999">
      <c r="A13" s="1883" t="s">
        <v>353</v>
      </c>
      <c r="B13" s="1879"/>
      <c r="C13" s="1879"/>
      <c r="D13" s="3323" t="str">
        <f>'Sch 3 '!D11</f>
        <v>JANUARY 1, 2022</v>
      </c>
      <c r="E13" s="1879"/>
      <c r="F13" s="1882" t="s">
        <v>234</v>
      </c>
      <c r="G13" s="1879"/>
      <c r="H13" s="1882" t="s">
        <v>235</v>
      </c>
      <c r="I13" s="1879"/>
      <c r="J13" s="1884" t="str">
        <f>'Sch 3 '!L11</f>
        <v>JANUARY 31, 2022</v>
      </c>
    </row>
    <row r="14" spans="1:10" ht="17.399999999999999">
      <c r="A14" s="1883"/>
      <c r="B14" s="1879"/>
      <c r="C14" s="1879"/>
      <c r="D14" s="3375"/>
      <c r="E14" s="1879"/>
      <c r="F14" s="1885"/>
      <c r="G14" s="1879"/>
      <c r="H14" s="1886" t="s">
        <v>231</v>
      </c>
      <c r="I14" s="1879"/>
      <c r="J14" s="1885"/>
    </row>
    <row r="15" spans="1:10" ht="17.399999999999999">
      <c r="A15" s="1887" t="s">
        <v>385</v>
      </c>
      <c r="B15" s="1879"/>
      <c r="C15" s="1879"/>
      <c r="D15" s="3028"/>
      <c r="E15" s="3028"/>
      <c r="F15" s="3040"/>
      <c r="G15" s="3028"/>
      <c r="H15" s="3028"/>
      <c r="I15" s="3028"/>
      <c r="J15" s="3028"/>
    </row>
    <row r="16" spans="1:10" ht="25.35" customHeight="1">
      <c r="A16" s="1880" t="s">
        <v>386</v>
      </c>
      <c r="B16" s="1879"/>
      <c r="C16" s="1880"/>
      <c r="D16" s="1670">
        <v>2.891</v>
      </c>
      <c r="E16" s="1888"/>
      <c r="F16" s="1670">
        <v>0</v>
      </c>
      <c r="G16" s="1888"/>
      <c r="H16" s="1670">
        <v>0</v>
      </c>
      <c r="I16" s="1888"/>
      <c r="J16" s="1888">
        <f>ROUND(D16+F16-H16,3)</f>
        <v>2.891</v>
      </c>
    </row>
    <row r="17" spans="1:14" s="3478" customFormat="1" ht="25.35" customHeight="1">
      <c r="A17" s="3027" t="s">
        <v>1349</v>
      </c>
      <c r="B17" s="3027"/>
      <c r="C17" s="3027"/>
      <c r="D17" s="1674">
        <v>123.78400000000001</v>
      </c>
      <c r="E17" s="1890"/>
      <c r="F17" s="1674">
        <v>321.238</v>
      </c>
      <c r="G17" s="1888"/>
      <c r="H17" s="1674">
        <v>106.875</v>
      </c>
      <c r="I17" s="1890"/>
      <c r="J17" s="1891">
        <f>ROUND(D17+F17-H17,3)</f>
        <v>338.14699999999999</v>
      </c>
    </row>
    <row r="18" spans="1:14" ht="25.35" customHeight="1">
      <c r="A18" s="1889" t="s">
        <v>1350</v>
      </c>
      <c r="B18" s="1880"/>
      <c r="C18" s="1880"/>
      <c r="D18" s="1674">
        <v>2318.8319999999999</v>
      </c>
      <c r="E18" s="1890"/>
      <c r="F18" s="1674">
        <v>1839.0160000000001</v>
      </c>
      <c r="G18" s="1888"/>
      <c r="H18" s="1674">
        <v>1527.3240000000001</v>
      </c>
      <c r="I18" s="1890"/>
      <c r="J18" s="1891">
        <f>ROUND(D18+F18-H18,3)</f>
        <v>2630.5239999999999</v>
      </c>
    </row>
    <row r="19" spans="1:14" ht="25.35" customHeight="1">
      <c r="A19" s="1880" t="s">
        <v>1207</v>
      </c>
      <c r="B19" s="1880"/>
      <c r="C19" s="1880"/>
      <c r="D19" s="1674">
        <v>0</v>
      </c>
      <c r="E19" s="1890"/>
      <c r="F19" s="1674">
        <v>150.393</v>
      </c>
      <c r="G19" s="1888"/>
      <c r="H19" s="1674">
        <v>150.393</v>
      </c>
      <c r="I19" s="1890"/>
      <c r="J19" s="1891">
        <f>ROUND(D19+F19-H19,3)</f>
        <v>0</v>
      </c>
    </row>
    <row r="20" spans="1:14" ht="25.35" customHeight="1" thickBot="1">
      <c r="A20" s="1892" t="s">
        <v>387</v>
      </c>
      <c r="B20" s="1880"/>
      <c r="C20" s="1880"/>
      <c r="D20" s="1893">
        <f>ROUND(SUM(D16:D19),3)</f>
        <v>2445.5070000000001</v>
      </c>
      <c r="E20" s="3041"/>
      <c r="F20" s="1893">
        <f>ROUND(SUM(F16:F19),3)</f>
        <v>2310.6469999999999</v>
      </c>
      <c r="G20" s="3041"/>
      <c r="H20" s="1893">
        <f>ROUND(SUM(H16:H19),3)</f>
        <v>1784.5920000000001</v>
      </c>
      <c r="I20" s="3041"/>
      <c r="J20" s="1893">
        <f>ROUND(SUM(J16:J19),3)</f>
        <v>2971.5619999999999</v>
      </c>
      <c r="K20" s="1894"/>
      <c r="L20" s="1894"/>
      <c r="M20" s="1894"/>
      <c r="N20" s="1894"/>
    </row>
    <row r="21" spans="1:14" ht="18" thickTop="1">
      <c r="A21" s="1880"/>
      <c r="B21" s="1880"/>
      <c r="C21" s="1880"/>
      <c r="D21" s="3030"/>
      <c r="E21" s="1880"/>
      <c r="F21" s="1895"/>
      <c r="G21" s="1880"/>
      <c r="H21" s="1895"/>
      <c r="I21" s="1880"/>
      <c r="J21" s="1895"/>
    </row>
    <row r="22" spans="1:14" ht="17.399999999999999">
      <c r="A22" s="1880"/>
      <c r="B22" s="1880"/>
      <c r="C22" s="1880"/>
      <c r="D22" s="3030"/>
      <c r="E22" s="1880"/>
      <c r="F22" s="1895"/>
      <c r="G22" s="1880"/>
      <c r="H22" s="1895"/>
      <c r="I22" s="1880"/>
      <c r="J22" s="1895"/>
    </row>
    <row r="23" spans="1:14" ht="6.75" customHeight="1">
      <c r="A23" s="1880"/>
      <c r="B23" s="1880"/>
      <c r="C23" s="1880"/>
      <c r="D23" s="1895"/>
      <c r="E23" s="1880"/>
      <c r="F23" s="1895"/>
      <c r="G23" s="1880"/>
      <c r="H23" s="1895"/>
      <c r="I23" s="1880"/>
      <c r="J23" s="1895"/>
    </row>
    <row r="24" spans="1:14" ht="17.399999999999999">
      <c r="A24" s="2142" t="s">
        <v>1351</v>
      </c>
      <c r="B24" s="1880"/>
      <c r="C24" s="1880"/>
      <c r="D24" s="1880"/>
      <c r="E24" s="1880"/>
      <c r="F24" s="1880" t="s">
        <v>14</v>
      </c>
      <c r="G24" s="1880"/>
      <c r="H24" s="1880"/>
      <c r="I24" s="1880"/>
      <c r="J24" s="1880"/>
    </row>
    <row r="25" spans="1:14" ht="6" customHeight="1"/>
    <row r="26" spans="1:14" ht="59.25" customHeight="1">
      <c r="A26" s="3995" t="s">
        <v>1194</v>
      </c>
      <c r="B26" s="3995"/>
      <c r="C26" s="3995"/>
      <c r="D26" s="3995"/>
      <c r="E26" s="3995"/>
      <c r="F26" s="3995"/>
      <c r="G26" s="3995"/>
      <c r="H26" s="3995"/>
      <c r="I26" s="3995"/>
      <c r="J26" s="3995"/>
    </row>
    <row r="27" spans="1:14" ht="43.35" customHeight="1">
      <c r="A27" s="3996" t="s">
        <v>1587</v>
      </c>
      <c r="B27" s="3996"/>
      <c r="C27" s="3996"/>
      <c r="D27" s="3996"/>
      <c r="E27" s="3996"/>
      <c r="F27" s="3996"/>
      <c r="G27" s="3996"/>
      <c r="H27" s="3996"/>
      <c r="I27" s="3996"/>
      <c r="J27" s="3996"/>
    </row>
    <row r="28" spans="1:14" ht="18.75" customHeight="1">
      <c r="A28" s="3997"/>
      <c r="B28" s="3997"/>
      <c r="C28" s="3997"/>
      <c r="D28" s="3997"/>
      <c r="E28" s="3997"/>
      <c r="F28" s="3997"/>
      <c r="G28" s="3997"/>
      <c r="H28" s="3997"/>
      <c r="I28" s="3997"/>
      <c r="J28" s="3997"/>
    </row>
    <row r="29" spans="1:14" ht="18" customHeight="1">
      <c r="A29" s="1896"/>
      <c r="B29" s="1921"/>
      <c r="C29" s="1921"/>
      <c r="D29" s="1921"/>
      <c r="E29" s="1921"/>
      <c r="F29" s="1674"/>
      <c r="G29" s="1921"/>
      <c r="H29" s="1921"/>
      <c r="I29" s="1921"/>
      <c r="J29" s="1921"/>
    </row>
    <row r="30" spans="1:14" ht="20.25" customHeight="1">
      <c r="A30" s="3998"/>
      <c r="B30" s="3998"/>
      <c r="C30" s="3998"/>
      <c r="D30" s="3998"/>
      <c r="E30" s="3998"/>
      <c r="F30" s="3998"/>
      <c r="G30" s="3998"/>
      <c r="H30" s="3998"/>
      <c r="I30" s="3998"/>
      <c r="J30" s="3998"/>
    </row>
    <row r="31" spans="1:14" ht="20.25" customHeight="1">
      <c r="A31" s="1922"/>
      <c r="B31" s="1921"/>
      <c r="C31" s="1921"/>
      <c r="D31" s="1921"/>
      <c r="E31" s="1921"/>
      <c r="F31" s="3691" t="s">
        <v>14</v>
      </c>
      <c r="G31" s="1921"/>
      <c r="H31" s="1921"/>
      <c r="I31" s="1921"/>
      <c r="J31" s="1921"/>
    </row>
    <row r="32" spans="1:14" ht="20.25" customHeight="1">
      <c r="A32" s="1922"/>
      <c r="B32" s="1921"/>
      <c r="C32" s="1921"/>
      <c r="D32" s="1921"/>
      <c r="E32" s="1921"/>
      <c r="F32" s="1921"/>
      <c r="G32" s="1921"/>
      <c r="H32" s="1921"/>
      <c r="I32" s="1921"/>
      <c r="J32" s="1921"/>
    </row>
    <row r="33" spans="1:10" ht="20.25" customHeight="1">
      <c r="A33" s="1922"/>
      <c r="B33" s="1921"/>
      <c r="C33" s="1921"/>
      <c r="D33" s="1921"/>
      <c r="E33" s="1921"/>
      <c r="F33" s="1921"/>
      <c r="G33" s="1921"/>
      <c r="H33" s="1921"/>
      <c r="I33" s="1921"/>
      <c r="J33" s="1921"/>
    </row>
    <row r="34" spans="1:10" ht="20.25" customHeight="1">
      <c r="A34" s="1922"/>
      <c r="B34" s="1921"/>
      <c r="C34" s="1921"/>
      <c r="D34" s="1921"/>
      <c r="E34" s="1921"/>
      <c r="F34" s="1921"/>
      <c r="G34" s="1921"/>
      <c r="H34" s="1921"/>
      <c r="I34" s="1921"/>
      <c r="J34" s="1921"/>
    </row>
    <row r="35" spans="1:10" ht="20.25" customHeight="1">
      <c r="A35" s="1922"/>
      <c r="B35" s="1921"/>
      <c r="C35" s="1921"/>
      <c r="D35" s="1921"/>
      <c r="E35" s="1921"/>
      <c r="F35" s="1921"/>
      <c r="G35" s="1921"/>
      <c r="H35" s="1921"/>
      <c r="I35" s="1921"/>
      <c r="J35" s="1921"/>
    </row>
    <row r="36" spans="1:10" ht="20.25" customHeight="1">
      <c r="A36" s="1922"/>
      <c r="B36" s="1921"/>
      <c r="C36" s="1921"/>
      <c r="D36" s="1921"/>
      <c r="E36" s="1921"/>
      <c r="F36" s="1921"/>
      <c r="G36" s="1921"/>
      <c r="H36" s="1921"/>
      <c r="I36" s="1921"/>
      <c r="J36" s="1921"/>
    </row>
    <row r="37" spans="1:10" ht="20.25" customHeight="1">
      <c r="A37" s="1922"/>
      <c r="B37" s="1921"/>
      <c r="C37" s="1921"/>
      <c r="D37" s="1921"/>
      <c r="E37" s="1921"/>
      <c r="F37" s="1921"/>
      <c r="G37" s="1921"/>
      <c r="H37" s="1921"/>
      <c r="I37" s="1921"/>
      <c r="J37" s="1921"/>
    </row>
    <row r="38" spans="1:10" ht="20.25" customHeight="1">
      <c r="A38" s="1922"/>
      <c r="B38" s="1921"/>
      <c r="C38" s="1921"/>
      <c r="D38" s="1921"/>
      <c r="E38" s="1921"/>
      <c r="F38" s="1921"/>
      <c r="G38" s="1921"/>
      <c r="H38" s="1921"/>
      <c r="I38" s="1921"/>
      <c r="J38" s="1921"/>
    </row>
    <row r="39" spans="1:10" ht="20.25" customHeight="1">
      <c r="A39" s="1922"/>
      <c r="B39" s="1921"/>
      <c r="C39" s="1921"/>
      <c r="D39" s="1921"/>
      <c r="E39" s="1921"/>
      <c r="F39" s="1921"/>
      <c r="G39" s="1921"/>
      <c r="H39" s="1921"/>
      <c r="I39" s="1921"/>
      <c r="J39" s="1921"/>
    </row>
    <row r="40" spans="1:10" ht="20.25" customHeight="1">
      <c r="A40" s="1922"/>
      <c r="B40" s="1921"/>
      <c r="C40" s="1921"/>
      <c r="D40" s="1921"/>
      <c r="E40" s="1921"/>
      <c r="F40" s="1921"/>
      <c r="G40" s="1921"/>
      <c r="H40" s="1921"/>
      <c r="I40" s="1921"/>
      <c r="J40" s="1921"/>
    </row>
    <row r="41" spans="1:10" ht="20.25" customHeight="1">
      <c r="A41" s="1922"/>
      <c r="B41" s="1921"/>
      <c r="C41" s="1921"/>
      <c r="D41" s="1921"/>
      <c r="E41" s="1921"/>
      <c r="F41" s="1921"/>
      <c r="G41" s="1921"/>
      <c r="H41" s="1921"/>
      <c r="I41" s="1921"/>
      <c r="J41" s="1921"/>
    </row>
    <row r="42" spans="1:10" ht="20.25" customHeight="1">
      <c r="A42" s="1922"/>
      <c r="B42" s="1921"/>
      <c r="C42" s="1921"/>
      <c r="D42" s="1921"/>
      <c r="E42" s="1921"/>
      <c r="F42" s="1921"/>
      <c r="G42" s="1921"/>
      <c r="H42" s="1921"/>
      <c r="I42" s="1921"/>
      <c r="J42" s="1921"/>
    </row>
    <row r="43" spans="1:10" ht="21" customHeight="1"/>
    <row r="44" spans="1:10" ht="21" customHeight="1">
      <c r="A44" s="1922"/>
      <c r="B44" s="1921"/>
      <c r="C44" s="1921"/>
      <c r="D44" s="1921"/>
      <c r="E44" s="1921"/>
      <c r="F44" s="1921"/>
      <c r="G44" s="1921"/>
      <c r="H44" s="1921"/>
      <c r="I44" s="1921"/>
      <c r="J44" s="1921"/>
    </row>
    <row r="45" spans="1:10" ht="18" customHeight="1">
      <c r="A45" s="1897"/>
      <c r="B45" s="1898"/>
      <c r="C45" s="1899"/>
      <c r="D45" s="1900"/>
      <c r="E45" s="1899"/>
      <c r="F45" s="1900"/>
      <c r="G45" s="1899"/>
      <c r="H45" s="1900"/>
      <c r="I45" s="1901"/>
    </row>
    <row r="46" spans="1:10" ht="18" customHeight="1">
      <c r="A46" s="1902"/>
      <c r="B46" s="1898"/>
      <c r="C46" s="1898"/>
      <c r="D46" s="1900"/>
      <c r="E46" s="1898"/>
      <c r="F46" s="1903"/>
      <c r="G46" s="1900"/>
      <c r="H46" s="1900"/>
      <c r="I46" s="1901"/>
    </row>
    <row r="47" spans="1:10" ht="18" customHeight="1">
      <c r="A47" s="1902"/>
      <c r="B47" s="1898"/>
      <c r="C47" s="1898"/>
      <c r="D47" s="1900"/>
      <c r="E47" s="1898"/>
      <c r="F47" s="1903"/>
      <c r="G47" s="1900"/>
      <c r="H47" s="1900"/>
      <c r="I47" s="1901"/>
    </row>
    <row r="48" spans="1:10" ht="18" customHeight="1">
      <c r="A48" s="1902"/>
      <c r="B48" s="1898"/>
      <c r="C48" s="1898"/>
      <c r="D48" s="1900"/>
      <c r="E48" s="1898"/>
      <c r="F48" s="1903"/>
      <c r="G48" s="1900"/>
      <c r="H48" s="1900"/>
      <c r="I48" s="1901"/>
    </row>
    <row r="49" spans="1:9" ht="18" customHeight="1">
      <c r="A49" s="1902"/>
      <c r="B49" s="1898"/>
      <c r="C49" s="1898"/>
      <c r="D49" s="1900"/>
      <c r="E49" s="1898"/>
      <c r="F49" s="1900"/>
      <c r="G49" s="1900"/>
      <c r="H49" s="1904"/>
      <c r="I49" s="1901"/>
    </row>
    <row r="50" spans="1:9" ht="18" customHeight="1">
      <c r="A50" s="1905"/>
      <c r="B50" s="1898"/>
      <c r="C50" s="1898"/>
      <c r="D50" s="1900"/>
      <c r="E50" s="1898"/>
      <c r="F50" s="1900"/>
      <c r="G50" s="1900"/>
      <c r="H50" s="1900"/>
      <c r="I50" s="1901"/>
    </row>
    <row r="51" spans="1:9" ht="18" customHeight="1">
      <c r="A51" s="1906"/>
      <c r="B51" s="1898"/>
      <c r="C51" s="1898"/>
      <c r="D51" s="1900"/>
      <c r="E51" s="1898"/>
      <c r="F51" s="1904"/>
      <c r="G51" s="1900"/>
      <c r="H51" s="1900"/>
      <c r="I51" s="1901"/>
    </row>
    <row r="52" spans="1:9" ht="18" customHeight="1">
      <c r="A52" s="1902"/>
      <c r="B52" s="1898"/>
      <c r="C52" s="1898"/>
      <c r="D52" s="1900"/>
      <c r="E52" s="1898"/>
      <c r="F52" s="1903"/>
      <c r="G52" s="1900"/>
      <c r="H52" s="1900"/>
      <c r="I52" s="1901"/>
    </row>
    <row r="53" spans="1:9" ht="18" customHeight="1">
      <c r="A53" s="1902"/>
      <c r="B53" s="1898"/>
      <c r="C53" s="1898"/>
      <c r="D53" s="1900"/>
      <c r="E53" s="1898"/>
      <c r="F53" s="1907"/>
      <c r="G53" s="1900"/>
      <c r="H53" s="1904"/>
      <c r="I53" s="1901"/>
    </row>
    <row r="54" spans="1:9" ht="18" customHeight="1">
      <c r="A54" s="1905"/>
      <c r="B54" s="1898"/>
      <c r="C54" s="1899"/>
      <c r="D54" s="1908"/>
      <c r="E54" s="1899"/>
      <c r="G54" s="1899"/>
      <c r="H54" s="1908"/>
      <c r="I54" s="1901"/>
    </row>
  </sheetData>
  <mergeCells count="4">
    <mergeCell ref="A26:J26"/>
    <mergeCell ref="A27:J27"/>
    <mergeCell ref="A28:J28"/>
    <mergeCell ref="A30:J30"/>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60" workbookViewId="0"/>
  </sheetViews>
  <sheetFormatPr defaultColWidth="8.81640625" defaultRowHeight="13.2"/>
  <cols>
    <col min="1" max="1" width="40.08984375" style="616" customWidth="1"/>
    <col min="2" max="2" width="2.08984375" style="616" customWidth="1"/>
    <col min="3" max="3" width="17.08984375" style="793" customWidth="1"/>
    <col min="4" max="4" width="2.08984375" style="616" customWidth="1"/>
    <col min="5" max="5" width="15.453125" style="616" customWidth="1"/>
    <col min="6" max="6" width="2.08984375" style="616" customWidth="1"/>
    <col min="7" max="7" width="16.08984375" style="616" customWidth="1"/>
    <col min="8" max="8" width="2.08984375" style="616" customWidth="1"/>
    <col min="9" max="9" width="15.54296875" style="617" customWidth="1"/>
    <col min="10" max="10" width="2.08984375" style="616" customWidth="1"/>
    <col min="11" max="11" width="16.453125" style="617" bestFit="1" customWidth="1"/>
    <col min="12" max="12" width="2.08984375" style="616" customWidth="1"/>
    <col min="13" max="13" width="17.08984375" style="793" customWidth="1"/>
    <col min="14" max="14" width="1.81640625" style="616" customWidth="1"/>
    <col min="15" max="15" width="1.08984375" style="616" customWidth="1"/>
    <col min="16" max="16" width="2" style="616" customWidth="1"/>
    <col min="17" max="17" width="15.453125" style="616" customWidth="1"/>
    <col min="18" max="18" width="2.08984375" style="616" customWidth="1"/>
    <col min="19" max="19" width="16.453125" style="616" bestFit="1" customWidth="1"/>
    <col min="20" max="20" width="11.81640625" style="616" customWidth="1"/>
    <col min="21" max="21" width="12.453125" style="616" customWidth="1"/>
    <col min="22" max="22" width="9.81640625" style="616" bestFit="1" customWidth="1"/>
    <col min="23" max="16384" width="8.81640625" style="616"/>
  </cols>
  <sheetData>
    <row r="1" spans="1:23" ht="15">
      <c r="A1" s="925" t="s">
        <v>881</v>
      </c>
    </row>
    <row r="2" spans="1:23" ht="15">
      <c r="A2" s="1569"/>
    </row>
    <row r="3" spans="1:23" ht="17.399999999999999">
      <c r="A3" s="615" t="s">
        <v>0</v>
      </c>
      <c r="S3" s="615" t="s">
        <v>388</v>
      </c>
    </row>
    <row r="4" spans="1:23" ht="17.399999999999999">
      <c r="A4" s="615" t="s">
        <v>183</v>
      </c>
      <c r="J4" s="616" t="s">
        <v>14</v>
      </c>
    </row>
    <row r="5" spans="1:23" ht="17.399999999999999">
      <c r="A5" s="615" t="s">
        <v>389</v>
      </c>
    </row>
    <row r="6" spans="1:23" ht="17.399999999999999">
      <c r="A6" s="1570" t="str">
        <f>'Cashflow Governmental'!A6</f>
        <v xml:space="preserve">FISCAL YEAR 2021-2022   </v>
      </c>
    </row>
    <row r="9" spans="1:23" ht="15.6" customHeight="1">
      <c r="C9" s="3460"/>
      <c r="D9" s="3800"/>
      <c r="E9" s="3999" t="s">
        <v>1365</v>
      </c>
      <c r="F9" s="3999"/>
      <c r="G9" s="3999"/>
      <c r="H9" s="1503"/>
      <c r="I9" s="3511" t="s">
        <v>1198</v>
      </c>
      <c r="J9" s="3512"/>
      <c r="K9" s="3512"/>
      <c r="L9" s="1501"/>
      <c r="M9" s="1501"/>
      <c r="N9" s="1501"/>
      <c r="O9" s="1505"/>
      <c r="P9" s="1501"/>
    </row>
    <row r="10" spans="1:23">
      <c r="C10" s="1508" t="s">
        <v>120</v>
      </c>
      <c r="D10" s="1507"/>
      <c r="E10" s="3506"/>
      <c r="F10" s="3507"/>
      <c r="G10" s="3508"/>
      <c r="H10" s="1501"/>
      <c r="I10" s="3509"/>
      <c r="J10" s="3510"/>
      <c r="K10" s="3510"/>
      <c r="L10" s="1501"/>
      <c r="M10" s="1508" t="s">
        <v>120</v>
      </c>
      <c r="N10" s="1501"/>
      <c r="O10" s="1509"/>
      <c r="P10" s="1501"/>
      <c r="Q10" s="1506" t="s">
        <v>845</v>
      </c>
      <c r="R10" s="1506"/>
      <c r="S10" s="1506"/>
    </row>
    <row r="11" spans="1:23">
      <c r="C11" s="1508" t="s">
        <v>390</v>
      </c>
      <c r="D11" s="1507"/>
      <c r="E11" s="3518" t="s">
        <v>6</v>
      </c>
      <c r="F11" s="1507"/>
      <c r="G11" s="1510" t="s">
        <v>1575</v>
      </c>
      <c r="H11" s="1501"/>
      <c r="I11" s="1507" t="s">
        <v>391</v>
      </c>
      <c r="J11" s="1502" t="s">
        <v>14</v>
      </c>
      <c r="K11" s="1507" t="str">
        <f>G11</f>
        <v>10 MONTHS ENDED</v>
      </c>
      <c r="L11" s="1501"/>
      <c r="M11" s="1508" t="s">
        <v>390</v>
      </c>
      <c r="N11" s="1501"/>
      <c r="O11" s="1509"/>
      <c r="P11" s="1501"/>
      <c r="Q11" s="1507" t="s">
        <v>391</v>
      </c>
      <c r="R11" s="1502" t="s">
        <v>14</v>
      </c>
      <c r="S11" s="1507" t="str">
        <f>K11</f>
        <v>10 MONTHS ENDED</v>
      </c>
    </row>
    <row r="12" spans="1:23">
      <c r="A12" s="1571" t="s">
        <v>392</v>
      </c>
      <c r="C12" s="3461" t="s">
        <v>1378</v>
      </c>
      <c r="D12" s="2136"/>
      <c r="E12" s="3519" t="s">
        <v>132</v>
      </c>
      <c r="F12" s="2136"/>
      <c r="G12" s="1572" t="s">
        <v>1574</v>
      </c>
      <c r="H12" s="1501"/>
      <c r="I12" s="1572" t="s">
        <v>132</v>
      </c>
      <c r="J12" s="3892"/>
      <c r="K12" s="3893" t="str">
        <f>G12</f>
        <v>JANUARY 31, 2022</v>
      </c>
      <c r="L12" s="1501"/>
      <c r="M12" s="3893" t="str">
        <f>K12</f>
        <v>JANUARY 31, 2022</v>
      </c>
      <c r="N12" s="1501"/>
      <c r="O12" s="1509"/>
      <c r="P12" s="1501"/>
      <c r="Q12" s="1504" t="s">
        <v>132</v>
      </c>
      <c r="R12" s="1501"/>
      <c r="S12" s="3893" t="str">
        <f>M12</f>
        <v>JANUARY 31, 2022</v>
      </c>
    </row>
    <row r="13" spans="1:23">
      <c r="K13" s="1529"/>
      <c r="O13" s="1573"/>
    </row>
    <row r="14" spans="1:23">
      <c r="A14" s="618" t="s">
        <v>393</v>
      </c>
      <c r="K14" s="1529"/>
      <c r="O14" s="1573"/>
      <c r="Q14" s="617"/>
    </row>
    <row r="15" spans="1:23" ht="12" customHeight="1">
      <c r="A15" s="618"/>
      <c r="K15" s="1529"/>
      <c r="M15" s="793" t="s">
        <v>14</v>
      </c>
      <c r="O15" s="1573"/>
      <c r="Q15" s="617"/>
    </row>
    <row r="16" spans="1:23">
      <c r="A16" s="616" t="s">
        <v>892</v>
      </c>
      <c r="B16" s="617"/>
      <c r="C16" s="3454">
        <v>9992174</v>
      </c>
      <c r="D16" s="1528"/>
      <c r="E16" s="3454">
        <v>0</v>
      </c>
      <c r="F16" s="1528"/>
      <c r="G16" s="3454">
        <f>E16</f>
        <v>0</v>
      </c>
      <c r="H16" s="3454"/>
      <c r="I16" s="3454">
        <v>0</v>
      </c>
      <c r="J16" s="1528"/>
      <c r="K16" s="3454">
        <v>820274</v>
      </c>
      <c r="L16" s="1528" t="s">
        <v>14</v>
      </c>
      <c r="M16" s="3454">
        <f>ROUND(SUM(C16)-SUM(K16)+SUM(G16),0)</f>
        <v>9171900</v>
      </c>
      <c r="N16" s="631"/>
      <c r="O16" s="1574"/>
      <c r="P16" s="617"/>
      <c r="Q16" s="3454">
        <v>0</v>
      </c>
      <c r="R16" s="3454"/>
      <c r="S16" s="3454">
        <v>221054</v>
      </c>
      <c r="T16" s="620"/>
      <c r="U16" s="1528"/>
      <c r="V16" s="2130"/>
      <c r="W16" s="711"/>
    </row>
    <row r="17" spans="1:23">
      <c r="C17" s="794"/>
      <c r="D17" s="709"/>
      <c r="E17" s="622"/>
      <c r="F17" s="709"/>
      <c r="G17" s="794"/>
      <c r="H17" s="631"/>
      <c r="I17" s="622"/>
      <c r="J17" s="631"/>
      <c r="K17" s="1529"/>
      <c r="L17" s="631"/>
      <c r="M17" s="794"/>
      <c r="N17" s="631"/>
      <c r="O17" s="1574"/>
      <c r="P17" s="631"/>
      <c r="Q17" s="622"/>
      <c r="R17" s="631"/>
      <c r="S17" s="1529"/>
      <c r="U17" s="622"/>
      <c r="V17" s="710"/>
      <c r="W17" s="711"/>
    </row>
    <row r="18" spans="1:23">
      <c r="A18" s="616" t="s">
        <v>394</v>
      </c>
      <c r="C18" s="794"/>
      <c r="D18" s="709"/>
      <c r="E18" s="617"/>
      <c r="F18" s="709"/>
      <c r="G18" s="794"/>
      <c r="H18" s="631"/>
      <c r="J18" s="617"/>
      <c r="K18" s="1529"/>
      <c r="L18" s="631"/>
      <c r="M18" s="794"/>
      <c r="N18" s="631"/>
      <c r="O18" s="1574"/>
      <c r="P18" s="631"/>
      <c r="Q18" s="617"/>
      <c r="R18" s="617"/>
      <c r="S18" s="1529"/>
      <c r="U18" s="617"/>
      <c r="V18" s="710"/>
      <c r="W18" s="620"/>
    </row>
    <row r="19" spans="1:23" ht="12" customHeight="1">
      <c r="A19" s="616" t="s">
        <v>893</v>
      </c>
      <c r="C19" s="3456">
        <v>1321445</v>
      </c>
      <c r="D19" s="1530"/>
      <c r="E19" s="3456">
        <v>0</v>
      </c>
      <c r="F19" s="1530"/>
      <c r="G19" s="3456">
        <f>E19</f>
        <v>0</v>
      </c>
      <c r="H19" s="3456"/>
      <c r="I19" s="3456">
        <v>0</v>
      </c>
      <c r="J19" s="1530"/>
      <c r="K19" s="3456">
        <v>33926</v>
      </c>
      <c r="L19" s="1530" t="s">
        <v>14</v>
      </c>
      <c r="M19" s="3456">
        <f>ROUND(SUM(C19)-SUM(K19)+SUM(G19),0)</f>
        <v>1287519</v>
      </c>
      <c r="N19" s="631"/>
      <c r="O19" s="1574"/>
      <c r="P19" s="631" t="s">
        <v>14</v>
      </c>
      <c r="Q19" s="3456">
        <v>0</v>
      </c>
      <c r="R19" s="3456"/>
      <c r="S19" s="3456">
        <v>20551</v>
      </c>
      <c r="T19" s="620"/>
      <c r="U19" s="794"/>
      <c r="V19" s="710"/>
      <c r="W19" s="711"/>
    </row>
    <row r="20" spans="1:23">
      <c r="A20" s="616" t="s">
        <v>395</v>
      </c>
      <c r="C20" s="3456">
        <v>0</v>
      </c>
      <c r="D20" s="1530"/>
      <c r="E20" s="3456">
        <v>0</v>
      </c>
      <c r="F20" s="1530"/>
      <c r="G20" s="3456">
        <f t="shared" ref="G20:G63" si="0">E20</f>
        <v>0</v>
      </c>
      <c r="H20" s="3456"/>
      <c r="I20" s="3456">
        <v>0</v>
      </c>
      <c r="J20" s="1530"/>
      <c r="K20" s="3456">
        <v>0</v>
      </c>
      <c r="L20" s="1530"/>
      <c r="M20" s="3456">
        <f>ROUND(SUM(C20)-SUM(K20)+SUM(G20),0)</f>
        <v>0</v>
      </c>
      <c r="N20" s="631"/>
      <c r="O20" s="1574"/>
      <c r="P20" s="631"/>
      <c r="Q20" s="3456">
        <v>0</v>
      </c>
      <c r="R20" s="3456"/>
      <c r="S20" s="3456">
        <v>0</v>
      </c>
      <c r="T20" s="620"/>
      <c r="U20" s="794"/>
      <c r="V20" s="710"/>
      <c r="W20" s="711"/>
    </row>
    <row r="21" spans="1:23">
      <c r="A21" s="616" t="s">
        <v>1191</v>
      </c>
      <c r="C21" s="3456">
        <v>277661899</v>
      </c>
      <c r="D21" s="1530"/>
      <c r="E21" s="3456">
        <v>0</v>
      </c>
      <c r="F21" s="1530"/>
      <c r="G21" s="3456">
        <f t="shared" si="0"/>
        <v>0</v>
      </c>
      <c r="H21" s="3456"/>
      <c r="I21" s="3456">
        <v>0</v>
      </c>
      <c r="J21" s="1530"/>
      <c r="K21" s="3456">
        <v>9353588</v>
      </c>
      <c r="L21" s="1530" t="s">
        <v>14</v>
      </c>
      <c r="M21" s="3456">
        <f>ROUND(SUM(C21)-SUM(K21)+SUM(G21),0)</f>
        <v>268308311</v>
      </c>
      <c r="N21" s="631"/>
      <c r="O21" s="1574"/>
      <c r="P21" s="631"/>
      <c r="Q21" s="3456">
        <v>0</v>
      </c>
      <c r="R21" s="3456"/>
      <c r="S21" s="3456">
        <v>4849344</v>
      </c>
      <c r="T21" s="620"/>
      <c r="U21" s="794"/>
      <c r="V21" s="710"/>
      <c r="W21" s="711"/>
    </row>
    <row r="22" spans="1:23">
      <c r="A22" s="616" t="s">
        <v>396</v>
      </c>
      <c r="C22" s="3456">
        <v>11083955</v>
      </c>
      <c r="D22" s="1530"/>
      <c r="E22" s="3456">
        <v>0</v>
      </c>
      <c r="F22" s="1530"/>
      <c r="G22" s="3456">
        <f t="shared" si="0"/>
        <v>0</v>
      </c>
      <c r="H22" s="3456"/>
      <c r="I22" s="3456">
        <v>0</v>
      </c>
      <c r="J22" s="1530"/>
      <c r="K22" s="3456">
        <v>164758</v>
      </c>
      <c r="L22" s="1530" t="s">
        <v>14</v>
      </c>
      <c r="M22" s="3456">
        <f>ROUND(SUM(C22)-SUM(K22)+SUM(G22),0)</f>
        <v>10919197</v>
      </c>
      <c r="N22" s="631"/>
      <c r="O22" s="1574"/>
      <c r="P22" s="631"/>
      <c r="Q22" s="3456">
        <v>0</v>
      </c>
      <c r="R22" s="3456"/>
      <c r="S22" s="3456">
        <v>215019</v>
      </c>
      <c r="T22" s="620"/>
      <c r="U22" s="794"/>
      <c r="V22" s="710"/>
      <c r="W22" s="711"/>
    </row>
    <row r="23" spans="1:23">
      <c r="A23" s="616" t="s">
        <v>894</v>
      </c>
      <c r="C23" s="3456">
        <v>36701555</v>
      </c>
      <c r="D23" s="1530"/>
      <c r="E23" s="3456">
        <v>0</v>
      </c>
      <c r="F23" s="1530"/>
      <c r="G23" s="3456">
        <f t="shared" si="0"/>
        <v>0</v>
      </c>
      <c r="H23" s="3456"/>
      <c r="I23" s="3456">
        <v>0</v>
      </c>
      <c r="J23" s="1530"/>
      <c r="K23" s="3456">
        <v>1320431</v>
      </c>
      <c r="L23" s="1530" t="s">
        <v>14</v>
      </c>
      <c r="M23" s="3456">
        <f>ROUND(SUM(C23)-SUM(K23)+SUM(G23),0)</f>
        <v>35381124</v>
      </c>
      <c r="N23" s="631"/>
      <c r="O23" s="1574"/>
      <c r="P23" s="631"/>
      <c r="Q23" s="3456">
        <v>0</v>
      </c>
      <c r="R23" s="3456"/>
      <c r="S23" s="3456">
        <v>576077</v>
      </c>
      <c r="T23" s="620"/>
      <c r="U23" s="794"/>
      <c r="V23" s="710"/>
      <c r="W23" s="711"/>
    </row>
    <row r="24" spans="1:23">
      <c r="C24" s="3456"/>
      <c r="D24" s="794"/>
      <c r="E24" s="3455"/>
      <c r="F24" s="794"/>
      <c r="G24" s="3456" t="s">
        <v>14</v>
      </c>
      <c r="H24" s="3455"/>
      <c r="I24" s="3455"/>
      <c r="J24" s="794"/>
      <c r="K24" s="3455"/>
      <c r="L24" s="794"/>
      <c r="M24" s="3456" t="s">
        <v>14</v>
      </c>
      <c r="N24" s="631"/>
      <c r="O24" s="1574"/>
      <c r="P24" s="631"/>
      <c r="Q24" s="3456"/>
      <c r="R24" s="3456"/>
      <c r="S24" s="3456"/>
      <c r="U24" s="622"/>
      <c r="V24" s="710"/>
      <c r="W24" s="711"/>
    </row>
    <row r="25" spans="1:23">
      <c r="A25" s="616" t="s">
        <v>802</v>
      </c>
      <c r="C25" s="3456"/>
      <c r="D25" s="794"/>
      <c r="E25" s="3455"/>
      <c r="F25" s="794"/>
      <c r="G25" s="3456" t="s">
        <v>14</v>
      </c>
      <c r="H25" s="3455"/>
      <c r="I25" s="3455"/>
      <c r="J25" s="794"/>
      <c r="K25" s="3455"/>
      <c r="L25" s="794"/>
      <c r="M25" s="3456" t="s">
        <v>14</v>
      </c>
      <c r="N25" s="631"/>
      <c r="O25" s="1574"/>
      <c r="P25" s="631"/>
      <c r="Q25" s="3456"/>
      <c r="R25" s="3456"/>
      <c r="S25" s="3456"/>
      <c r="U25" s="622"/>
      <c r="V25" s="710"/>
      <c r="W25" s="620"/>
    </row>
    <row r="26" spans="1:23">
      <c r="A26" s="616" t="s">
        <v>910</v>
      </c>
      <c r="C26" s="3456">
        <v>1022456</v>
      </c>
      <c r="D26" s="1530"/>
      <c r="E26" s="3456">
        <v>0</v>
      </c>
      <c r="F26" s="1530"/>
      <c r="G26" s="3456">
        <f t="shared" si="0"/>
        <v>0</v>
      </c>
      <c r="H26" s="3456"/>
      <c r="I26" s="3456">
        <v>0</v>
      </c>
      <c r="J26" s="1530"/>
      <c r="K26" s="3456">
        <v>263713</v>
      </c>
      <c r="L26" s="1530"/>
      <c r="M26" s="3456">
        <f>ROUND(SUM(C26)-SUM(K26)+SUM(G26),0)</f>
        <v>758743</v>
      </c>
      <c r="N26" s="631"/>
      <c r="O26" s="1574"/>
      <c r="P26" s="631"/>
      <c r="Q26" s="3456">
        <v>0</v>
      </c>
      <c r="R26" s="3456"/>
      <c r="S26" s="3456">
        <v>38507</v>
      </c>
      <c r="T26" s="620"/>
      <c r="U26" s="794"/>
      <c r="V26" s="710"/>
      <c r="W26" s="711"/>
    </row>
    <row r="27" spans="1:23">
      <c r="C27" s="3456"/>
      <c r="D27" s="794"/>
      <c r="E27" s="3455"/>
      <c r="F27" s="794"/>
      <c r="G27" s="3456" t="s">
        <v>14</v>
      </c>
      <c r="H27" s="3455"/>
      <c r="I27" s="3455"/>
      <c r="J27" s="794"/>
      <c r="K27" s="3455"/>
      <c r="L27" s="794"/>
      <c r="M27" s="3456" t="s">
        <v>14</v>
      </c>
      <c r="N27" s="631"/>
      <c r="O27" s="1574"/>
      <c r="P27" s="631"/>
      <c r="Q27" s="3456"/>
      <c r="R27" s="3456"/>
      <c r="S27" s="3456"/>
      <c r="U27" s="622"/>
      <c r="V27" s="710"/>
      <c r="W27" s="711"/>
    </row>
    <row r="28" spans="1:23">
      <c r="A28" s="616" t="s">
        <v>1146</v>
      </c>
      <c r="C28" s="3456"/>
      <c r="D28" s="794"/>
      <c r="E28" s="3455"/>
      <c r="F28" s="794"/>
      <c r="G28" s="3456" t="s">
        <v>14</v>
      </c>
      <c r="H28" s="3455"/>
      <c r="I28" s="3455"/>
      <c r="J28" s="794"/>
      <c r="K28" s="3455"/>
      <c r="L28" s="794"/>
      <c r="M28" s="3456" t="s">
        <v>14</v>
      </c>
      <c r="N28" s="631"/>
      <c r="O28" s="1574"/>
      <c r="P28" s="631"/>
      <c r="Q28" s="3456"/>
      <c r="R28" s="3456"/>
      <c r="S28" s="3456"/>
      <c r="U28" s="622"/>
      <c r="V28" s="710"/>
    </row>
    <row r="29" spans="1:23">
      <c r="A29" s="616" t="s">
        <v>397</v>
      </c>
      <c r="C29" s="3456">
        <v>0</v>
      </c>
      <c r="D29" s="1530"/>
      <c r="E29" s="3456">
        <v>0</v>
      </c>
      <c r="F29" s="1530"/>
      <c r="G29" s="3456">
        <f t="shared" si="0"/>
        <v>0</v>
      </c>
      <c r="H29" s="3456"/>
      <c r="I29" s="3456">
        <v>0</v>
      </c>
      <c r="J29" s="1530"/>
      <c r="K29" s="3456">
        <v>0</v>
      </c>
      <c r="L29" s="1530"/>
      <c r="M29" s="3456">
        <f>ROUND(SUM(C29)-SUM(K29)+SUM(G29),0)</f>
        <v>0</v>
      </c>
      <c r="N29" s="631"/>
      <c r="O29" s="1574"/>
      <c r="P29" s="631"/>
      <c r="Q29" s="3456">
        <v>0</v>
      </c>
      <c r="R29" s="3456"/>
      <c r="S29" s="3456">
        <v>0</v>
      </c>
      <c r="T29" s="620"/>
      <c r="U29" s="794"/>
      <c r="V29" s="710"/>
      <c r="W29" s="711"/>
    </row>
    <row r="30" spans="1:23">
      <c r="A30" s="616" t="s">
        <v>895</v>
      </c>
      <c r="C30" s="3456">
        <v>4267512</v>
      </c>
      <c r="D30" s="1530"/>
      <c r="E30" s="3456">
        <v>0</v>
      </c>
      <c r="F30" s="1530"/>
      <c r="G30" s="3456">
        <f t="shared" si="0"/>
        <v>0</v>
      </c>
      <c r="H30" s="3456"/>
      <c r="I30" s="3456">
        <v>0</v>
      </c>
      <c r="J30" s="1530" t="s">
        <v>14</v>
      </c>
      <c r="K30" s="3456">
        <v>59917</v>
      </c>
      <c r="L30" s="1530"/>
      <c r="M30" s="3456">
        <f>ROUND(SUM(C30)-SUM(K30)+SUM(G30),0)</f>
        <v>4207595</v>
      </c>
      <c r="N30" s="631"/>
      <c r="O30" s="1574"/>
      <c r="P30" s="631"/>
      <c r="Q30" s="3456">
        <v>0</v>
      </c>
      <c r="R30" s="3456"/>
      <c r="S30" s="3456">
        <v>105449</v>
      </c>
      <c r="T30" s="620" t="s">
        <v>14</v>
      </c>
      <c r="U30" s="794" t="s">
        <v>14</v>
      </c>
      <c r="V30" s="710"/>
      <c r="W30" s="711"/>
    </row>
    <row r="31" spans="1:23">
      <c r="A31" s="616" t="s">
        <v>398</v>
      </c>
      <c r="C31" s="3456">
        <v>5538761</v>
      </c>
      <c r="D31" s="1530"/>
      <c r="E31" s="3456">
        <v>0</v>
      </c>
      <c r="F31" s="1530"/>
      <c r="G31" s="3456">
        <f t="shared" si="0"/>
        <v>0</v>
      </c>
      <c r="H31" s="3456"/>
      <c r="I31" s="3456">
        <v>0</v>
      </c>
      <c r="J31" s="1530"/>
      <c r="K31" s="3456">
        <v>1720000</v>
      </c>
      <c r="L31" s="1530"/>
      <c r="M31" s="3456">
        <f>ROUND(SUM(C31)-SUM(K31)+SUM(G31),0)</f>
        <v>3818761</v>
      </c>
      <c r="N31" s="631"/>
      <c r="O31" s="1574"/>
      <c r="P31" s="631"/>
      <c r="Q31" s="3456">
        <v>0</v>
      </c>
      <c r="R31" s="3456"/>
      <c r="S31" s="3456">
        <v>126730</v>
      </c>
      <c r="T31" s="620" t="s">
        <v>14</v>
      </c>
      <c r="U31" s="794" t="s">
        <v>14</v>
      </c>
      <c r="V31" s="710"/>
      <c r="W31" s="711"/>
    </row>
    <row r="32" spans="1:23">
      <c r="C32" s="3456"/>
      <c r="D32" s="794"/>
      <c r="E32" s="3455"/>
      <c r="F32" s="794"/>
      <c r="G32" s="3456" t="s">
        <v>14</v>
      </c>
      <c r="H32" s="3455"/>
      <c r="I32" s="3455"/>
      <c r="J32" s="794"/>
      <c r="K32" s="3455"/>
      <c r="L32" s="794"/>
      <c r="M32" s="3456" t="s">
        <v>14</v>
      </c>
      <c r="N32" s="631"/>
      <c r="O32" s="1574"/>
      <c r="P32" s="631"/>
      <c r="Q32" s="3456"/>
      <c r="R32" s="3456"/>
      <c r="S32" s="3456"/>
      <c r="T32" s="620" t="s">
        <v>14</v>
      </c>
      <c r="U32" s="622"/>
      <c r="V32" s="710"/>
      <c r="W32" s="711"/>
    </row>
    <row r="33" spans="1:24">
      <c r="A33" s="616" t="s">
        <v>399</v>
      </c>
      <c r="C33" s="3456"/>
      <c r="D33" s="794"/>
      <c r="E33" s="3455"/>
      <c r="F33" s="794"/>
      <c r="G33" s="3456" t="s">
        <v>14</v>
      </c>
      <c r="H33" s="3455"/>
      <c r="I33" s="3455"/>
      <c r="J33" s="794"/>
      <c r="K33" s="3455"/>
      <c r="L33" s="794"/>
      <c r="M33" s="3456" t="s">
        <v>14</v>
      </c>
      <c r="N33" s="631"/>
      <c r="O33" s="1574"/>
      <c r="P33" s="631"/>
      <c r="Q33" s="3456"/>
      <c r="R33" s="3456"/>
      <c r="S33" s="3456"/>
      <c r="U33" s="622"/>
      <c r="V33" s="710"/>
      <c r="W33" s="620"/>
    </row>
    <row r="34" spans="1:24">
      <c r="A34" s="616" t="s">
        <v>1147</v>
      </c>
      <c r="C34" s="3456">
        <v>2692870</v>
      </c>
      <c r="D34" s="1530"/>
      <c r="E34" s="3456">
        <v>0</v>
      </c>
      <c r="F34" s="1530"/>
      <c r="G34" s="3456">
        <f t="shared" si="0"/>
        <v>0</v>
      </c>
      <c r="H34" s="3456"/>
      <c r="I34" s="3456">
        <v>0</v>
      </c>
      <c r="J34" s="1530"/>
      <c r="K34" s="3456">
        <v>206921</v>
      </c>
      <c r="L34" s="1530" t="s">
        <v>14</v>
      </c>
      <c r="M34" s="3456">
        <f>ROUND(SUM(C34)-SUM(K34)+SUM(G34),0)</f>
        <v>2485949</v>
      </c>
      <c r="N34" s="631"/>
      <c r="O34" s="1574"/>
      <c r="P34" s="631"/>
      <c r="Q34" s="3456">
        <v>0</v>
      </c>
      <c r="R34" s="3456" t="s">
        <v>14</v>
      </c>
      <c r="S34" s="3456">
        <v>53903</v>
      </c>
      <c r="T34" s="620"/>
      <c r="U34" s="794"/>
      <c r="V34" s="710"/>
      <c r="W34" s="711"/>
    </row>
    <row r="35" spans="1:24">
      <c r="A35" s="616" t="s">
        <v>400</v>
      </c>
      <c r="C35" s="3456">
        <v>83003304</v>
      </c>
      <c r="D35" s="1530"/>
      <c r="E35" s="3456">
        <v>0</v>
      </c>
      <c r="F35" s="1530"/>
      <c r="G35" s="3456">
        <f t="shared" si="0"/>
        <v>0</v>
      </c>
      <c r="H35" s="3456"/>
      <c r="I35" s="3456">
        <v>0</v>
      </c>
      <c r="J35" s="1530"/>
      <c r="K35" s="3456">
        <v>7790298</v>
      </c>
      <c r="L35" s="1530"/>
      <c r="M35" s="3456">
        <f>ROUND(SUM(C35)-SUM(K35)+SUM(G35),0)</f>
        <v>75213006</v>
      </c>
      <c r="N35" s="631"/>
      <c r="O35" s="1574"/>
      <c r="P35" s="631"/>
      <c r="Q35" s="3456">
        <v>0</v>
      </c>
      <c r="R35" s="3456"/>
      <c r="S35" s="3456">
        <v>1878569</v>
      </c>
      <c r="T35" s="620"/>
      <c r="U35" s="794"/>
      <c r="V35" s="710"/>
      <c r="W35" s="711"/>
      <c r="X35" s="620"/>
    </row>
    <row r="36" spans="1:24">
      <c r="C36" s="3456"/>
      <c r="D36" s="794"/>
      <c r="E36" s="3455"/>
      <c r="F36" s="794"/>
      <c r="G36" s="3456" t="s">
        <v>14</v>
      </c>
      <c r="H36" s="3455"/>
      <c r="I36" s="3455"/>
      <c r="J36" s="794"/>
      <c r="K36" s="3455"/>
      <c r="L36" s="794"/>
      <c r="M36" s="3456" t="s">
        <v>14</v>
      </c>
      <c r="N36" s="631"/>
      <c r="O36" s="1574"/>
      <c r="P36" s="631"/>
      <c r="Q36" s="3456"/>
      <c r="R36" s="3456"/>
      <c r="S36" s="3456"/>
      <c r="U36" s="622"/>
      <c r="V36" s="710"/>
      <c r="W36" s="711"/>
    </row>
    <row r="37" spans="1:24">
      <c r="A37" s="616" t="s">
        <v>401</v>
      </c>
      <c r="C37" s="3456"/>
      <c r="D37" s="794"/>
      <c r="E37" s="3455"/>
      <c r="F37" s="794"/>
      <c r="G37" s="3456" t="s">
        <v>14</v>
      </c>
      <c r="H37" s="3455"/>
      <c r="I37" s="3455"/>
      <c r="J37" s="794"/>
      <c r="K37" s="3455"/>
      <c r="L37" s="794"/>
      <c r="M37" s="3456" t="s">
        <v>14</v>
      </c>
      <c r="N37" s="631"/>
      <c r="O37" s="1574"/>
      <c r="P37" s="631"/>
      <c r="Q37" s="3456"/>
      <c r="R37" s="3456"/>
      <c r="S37" s="3456"/>
      <c r="U37" s="1815"/>
      <c r="V37" s="710"/>
      <c r="W37" s="620"/>
    </row>
    <row r="38" spans="1:24">
      <c r="A38" s="616" t="s">
        <v>1192</v>
      </c>
      <c r="C38" s="3456">
        <v>4115000</v>
      </c>
      <c r="D38" s="1530"/>
      <c r="E38" s="3456">
        <v>0</v>
      </c>
      <c r="F38" s="1530"/>
      <c r="G38" s="3456">
        <f t="shared" si="0"/>
        <v>0</v>
      </c>
      <c r="H38" s="3456"/>
      <c r="I38" s="3456">
        <v>0</v>
      </c>
      <c r="J38" s="1530"/>
      <c r="K38" s="3456">
        <v>0</v>
      </c>
      <c r="L38" s="1530"/>
      <c r="M38" s="3456">
        <f>ROUND(SUM(C38)-SUM(K38)+SUM(G38),0)</f>
        <v>4115000</v>
      </c>
      <c r="N38" s="631"/>
      <c r="O38" s="1574"/>
      <c r="P38" s="631"/>
      <c r="Q38" s="3456">
        <v>0</v>
      </c>
      <c r="R38" s="3456"/>
      <c r="S38" s="3456">
        <v>0</v>
      </c>
      <c r="T38" s="620"/>
      <c r="U38" s="794"/>
      <c r="V38" s="710"/>
      <c r="W38" s="711"/>
    </row>
    <row r="39" spans="1:24">
      <c r="A39" s="616" t="s">
        <v>896</v>
      </c>
      <c r="C39" s="3456">
        <v>1795000</v>
      </c>
      <c r="D39" s="1530"/>
      <c r="E39" s="3456">
        <v>0</v>
      </c>
      <c r="F39" s="1530"/>
      <c r="G39" s="3456">
        <f t="shared" si="0"/>
        <v>0</v>
      </c>
      <c r="H39" s="3456"/>
      <c r="I39" s="3456">
        <v>0</v>
      </c>
      <c r="J39" s="1530"/>
      <c r="K39" s="3456">
        <v>1280000</v>
      </c>
      <c r="L39" s="1530"/>
      <c r="M39" s="3456">
        <f>ROUND(SUM(C39)-SUM(K39)+SUM(G39),0)</f>
        <v>515000</v>
      </c>
      <c r="N39" s="631"/>
      <c r="O39" s="1574"/>
      <c r="P39" s="631"/>
      <c r="Q39" s="3456">
        <v>0</v>
      </c>
      <c r="R39" s="3456"/>
      <c r="S39" s="3456">
        <v>0</v>
      </c>
      <c r="T39" s="620"/>
      <c r="U39" s="794"/>
      <c r="V39" s="710"/>
      <c r="W39" s="711"/>
    </row>
    <row r="40" spans="1:24">
      <c r="C40" s="3456"/>
      <c r="D40" s="794"/>
      <c r="E40" s="3455"/>
      <c r="F40" s="794"/>
      <c r="G40" s="3456" t="s">
        <v>14</v>
      </c>
      <c r="H40" s="3455"/>
      <c r="I40" s="3455"/>
      <c r="J40" s="794"/>
      <c r="K40" s="3455"/>
      <c r="L40" s="794"/>
      <c r="M40" s="3456" t="s">
        <v>14</v>
      </c>
      <c r="N40" s="631"/>
      <c r="O40" s="1574"/>
      <c r="P40" s="631"/>
      <c r="Q40" s="3456"/>
      <c r="R40" s="3456"/>
      <c r="S40" s="3456"/>
      <c r="U40" s="1815"/>
      <c r="V40" s="710"/>
      <c r="W40" s="711"/>
    </row>
    <row r="41" spans="1:24">
      <c r="A41" s="616" t="s">
        <v>897</v>
      </c>
      <c r="C41" s="3456">
        <v>0</v>
      </c>
      <c r="D41" s="1530"/>
      <c r="E41" s="3456">
        <v>0</v>
      </c>
      <c r="F41" s="1530"/>
      <c r="G41" s="3456">
        <f t="shared" si="0"/>
        <v>0</v>
      </c>
      <c r="H41" s="3456"/>
      <c r="I41" s="3456">
        <v>0</v>
      </c>
      <c r="J41" s="1530"/>
      <c r="K41" s="3456">
        <v>0</v>
      </c>
      <c r="L41" s="1530"/>
      <c r="M41" s="3456">
        <f>ROUND(SUM(C41)-SUM(K41)+SUM(G41),0)</f>
        <v>0</v>
      </c>
      <c r="N41" s="631"/>
      <c r="O41" s="1574"/>
      <c r="P41" s="631"/>
      <c r="Q41" s="3456">
        <v>0</v>
      </c>
      <c r="R41" s="3456"/>
      <c r="S41" s="3456">
        <v>0</v>
      </c>
      <c r="T41" s="620"/>
      <c r="U41" s="794"/>
      <c r="V41" s="710"/>
      <c r="W41" s="711"/>
    </row>
    <row r="42" spans="1:24">
      <c r="C42" s="3456"/>
      <c r="D42" s="1530"/>
      <c r="E42" s="3456"/>
      <c r="F42" s="1530"/>
      <c r="G42" s="3456" t="s">
        <v>14</v>
      </c>
      <c r="H42" s="3456"/>
      <c r="I42" s="3456"/>
      <c r="J42" s="1530"/>
      <c r="K42" s="3456"/>
      <c r="L42" s="1530"/>
      <c r="M42" s="3456" t="s">
        <v>14</v>
      </c>
      <c r="N42" s="631"/>
      <c r="O42" s="1574"/>
      <c r="P42" s="631"/>
      <c r="Q42" s="3456"/>
      <c r="R42" s="3456"/>
      <c r="S42" s="3456"/>
      <c r="U42" s="1815"/>
      <c r="V42" s="710"/>
      <c r="W42" s="711"/>
    </row>
    <row r="43" spans="1:24">
      <c r="A43" s="616" t="s">
        <v>402</v>
      </c>
      <c r="C43" s="3456">
        <v>13485946</v>
      </c>
      <c r="D43" s="1530"/>
      <c r="E43" s="3456">
        <v>0</v>
      </c>
      <c r="F43" s="1530"/>
      <c r="G43" s="3456">
        <f t="shared" si="0"/>
        <v>0</v>
      </c>
      <c r="H43" s="3456"/>
      <c r="I43" s="3456">
        <v>0</v>
      </c>
      <c r="J43" s="1530"/>
      <c r="K43" s="3456">
        <v>881933</v>
      </c>
      <c r="L43" s="1530"/>
      <c r="M43" s="3456">
        <f>ROUND(SUM(C43)-SUM(K43)+SUM(G43),0)</f>
        <v>12604013</v>
      </c>
      <c r="N43" s="631"/>
      <c r="O43" s="1574"/>
      <c r="P43" s="631"/>
      <c r="Q43" s="3456">
        <v>0</v>
      </c>
      <c r="R43" s="3456"/>
      <c r="S43" s="3456">
        <v>309869</v>
      </c>
      <c r="T43" s="620"/>
      <c r="U43" s="794"/>
      <c r="V43" s="710"/>
      <c r="W43" s="711"/>
    </row>
    <row r="44" spans="1:24">
      <c r="C44" s="3456"/>
      <c r="D44" s="1530"/>
      <c r="E44" s="3456"/>
      <c r="F44" s="1530"/>
      <c r="G44" s="3456" t="s">
        <v>14</v>
      </c>
      <c r="H44" s="3456"/>
      <c r="I44" s="3456"/>
      <c r="J44" s="1530"/>
      <c r="K44" s="3456"/>
      <c r="L44" s="1530"/>
      <c r="M44" s="3456" t="s">
        <v>14</v>
      </c>
      <c r="N44" s="631"/>
      <c r="O44" s="1574"/>
      <c r="P44" s="631"/>
      <c r="Q44" s="3456"/>
      <c r="R44" s="3456"/>
      <c r="S44" s="3456"/>
      <c r="U44" s="764"/>
      <c r="V44" s="710"/>
      <c r="W44" s="711"/>
    </row>
    <row r="45" spans="1:24">
      <c r="A45" s="616" t="s">
        <v>403</v>
      </c>
      <c r="C45" s="3456">
        <v>0</v>
      </c>
      <c r="D45" s="1530"/>
      <c r="E45" s="3456">
        <v>0</v>
      </c>
      <c r="F45" s="1530"/>
      <c r="G45" s="3456">
        <f t="shared" si="0"/>
        <v>0</v>
      </c>
      <c r="H45" s="3456"/>
      <c r="I45" s="3456">
        <v>0</v>
      </c>
      <c r="J45" s="1530"/>
      <c r="K45" s="3456">
        <v>0</v>
      </c>
      <c r="L45" s="1530"/>
      <c r="M45" s="3456">
        <f>ROUND(SUM(C45)-SUM(K45)+SUM(G45),0)</f>
        <v>0</v>
      </c>
      <c r="N45" s="631"/>
      <c r="O45" s="1574"/>
      <c r="P45" s="631"/>
      <c r="Q45" s="3456">
        <v>0</v>
      </c>
      <c r="R45" s="3456"/>
      <c r="S45" s="3456">
        <v>0</v>
      </c>
      <c r="T45" s="620"/>
      <c r="U45" s="794"/>
      <c r="V45" s="710"/>
      <c r="W45" s="711"/>
    </row>
    <row r="46" spans="1:24">
      <c r="C46" s="3456"/>
      <c r="D46" s="1530"/>
      <c r="E46" s="3456"/>
      <c r="F46" s="1530"/>
      <c r="G46" s="3456" t="s">
        <v>14</v>
      </c>
      <c r="H46" s="3456"/>
      <c r="I46" s="3456"/>
      <c r="J46" s="1530"/>
      <c r="K46" s="3456"/>
      <c r="L46" s="1530"/>
      <c r="M46" s="3456" t="s">
        <v>14</v>
      </c>
      <c r="N46" s="631"/>
      <c r="O46" s="1574"/>
      <c r="P46" s="631"/>
      <c r="Q46" s="3456"/>
      <c r="R46" s="3456"/>
      <c r="S46" s="3456"/>
      <c r="U46" s="622"/>
      <c r="V46" s="710"/>
      <c r="W46" s="711"/>
    </row>
    <row r="47" spans="1:24">
      <c r="A47" s="616" t="s">
        <v>404</v>
      </c>
      <c r="C47" s="3456"/>
      <c r="D47" s="1531"/>
      <c r="E47" s="3457"/>
      <c r="F47" s="1531"/>
      <c r="G47" s="3456" t="s">
        <v>14</v>
      </c>
      <c r="H47" s="3457"/>
      <c r="I47" s="3457"/>
      <c r="J47" s="1531"/>
      <c r="K47" s="3457" t="s">
        <v>14</v>
      </c>
      <c r="L47" s="1531"/>
      <c r="M47" s="3456" t="s">
        <v>14</v>
      </c>
      <c r="N47" s="631"/>
      <c r="O47" s="1574"/>
      <c r="P47" s="631"/>
      <c r="Q47" s="3456"/>
      <c r="R47" s="3456"/>
      <c r="S47" s="3456"/>
      <c r="U47" s="1815"/>
      <c r="V47" s="710"/>
      <c r="W47" s="711"/>
    </row>
    <row r="48" spans="1:24">
      <c r="A48" s="616" t="s">
        <v>405</v>
      </c>
      <c r="C48" s="3456">
        <v>562450682</v>
      </c>
      <c r="D48" s="1531"/>
      <c r="E48" s="3457">
        <v>0</v>
      </c>
      <c r="F48" s="1531"/>
      <c r="G48" s="3456">
        <f t="shared" si="0"/>
        <v>0</v>
      </c>
      <c r="H48" s="3457"/>
      <c r="I48" s="3457">
        <v>0</v>
      </c>
      <c r="J48" s="1531"/>
      <c r="K48" s="3457">
        <v>6468252</v>
      </c>
      <c r="L48" s="1531" t="s">
        <v>14</v>
      </c>
      <c r="M48" s="3456">
        <f t="shared" ref="M48:M53" si="1">ROUND(SUM(C48)-SUM(K48)+SUM(G48),0)</f>
        <v>555982430</v>
      </c>
      <c r="N48" s="631"/>
      <c r="O48" s="1574"/>
      <c r="P48" s="631"/>
      <c r="Q48" s="3456">
        <v>0</v>
      </c>
      <c r="R48" s="3456"/>
      <c r="S48" s="3456">
        <v>8118221</v>
      </c>
      <c r="T48" s="1575"/>
      <c r="U48" s="794"/>
      <c r="V48" s="710"/>
      <c r="W48" s="711"/>
    </row>
    <row r="49" spans="1:23">
      <c r="A49" s="616" t="s">
        <v>406</v>
      </c>
      <c r="C49" s="3456">
        <v>7620311</v>
      </c>
      <c r="D49" s="1531"/>
      <c r="E49" s="3457">
        <v>0</v>
      </c>
      <c r="F49" s="1531"/>
      <c r="G49" s="3456">
        <f t="shared" si="0"/>
        <v>0</v>
      </c>
      <c r="H49" s="3457"/>
      <c r="I49" s="3457">
        <v>0</v>
      </c>
      <c r="J49" s="1531" t="s">
        <v>14</v>
      </c>
      <c r="K49" s="3457">
        <v>532516</v>
      </c>
      <c r="L49" s="1531"/>
      <c r="M49" s="3456">
        <f t="shared" si="1"/>
        <v>7087795</v>
      </c>
      <c r="N49" s="631"/>
      <c r="O49" s="1574"/>
      <c r="P49" s="631"/>
      <c r="Q49" s="3456">
        <v>0</v>
      </c>
      <c r="R49" s="3456"/>
      <c r="S49" s="3456">
        <v>163969</v>
      </c>
      <c r="T49" s="1575"/>
      <c r="U49" s="794"/>
      <c r="V49" s="710"/>
      <c r="W49" s="711"/>
    </row>
    <row r="50" spans="1:23">
      <c r="A50" s="616" t="s">
        <v>407</v>
      </c>
      <c r="C50" s="3456">
        <v>40464691</v>
      </c>
      <c r="D50" s="1531"/>
      <c r="E50" s="3457">
        <v>0</v>
      </c>
      <c r="F50" s="1531"/>
      <c r="G50" s="3456">
        <f t="shared" si="0"/>
        <v>0</v>
      </c>
      <c r="H50" s="3457"/>
      <c r="I50" s="3457">
        <v>0</v>
      </c>
      <c r="J50" s="1531"/>
      <c r="K50" s="3457">
        <v>0</v>
      </c>
      <c r="L50" s="1531"/>
      <c r="M50" s="3456">
        <f t="shared" si="1"/>
        <v>40464691</v>
      </c>
      <c r="N50" s="631"/>
      <c r="O50" s="1574"/>
      <c r="P50" s="631"/>
      <c r="Q50" s="3456">
        <v>0</v>
      </c>
      <c r="R50" s="3456"/>
      <c r="S50" s="3456">
        <v>543569</v>
      </c>
      <c r="T50" s="1575"/>
      <c r="U50" s="794"/>
      <c r="V50" s="710"/>
      <c r="W50" s="711"/>
    </row>
    <row r="51" spans="1:23">
      <c r="A51" s="616" t="s">
        <v>408</v>
      </c>
      <c r="C51" s="3456">
        <v>90201189</v>
      </c>
      <c r="D51" s="1531"/>
      <c r="E51" s="3457">
        <v>0</v>
      </c>
      <c r="F51" s="1531"/>
      <c r="G51" s="3456">
        <f t="shared" si="0"/>
        <v>0</v>
      </c>
      <c r="H51" s="3457"/>
      <c r="I51" s="3457">
        <v>0</v>
      </c>
      <c r="J51" s="1531"/>
      <c r="K51" s="3457">
        <v>0</v>
      </c>
      <c r="L51" s="1531"/>
      <c r="M51" s="3456">
        <f t="shared" si="1"/>
        <v>90201189</v>
      </c>
      <c r="N51" s="631"/>
      <c r="O51" s="1574"/>
      <c r="P51" s="631"/>
      <c r="Q51" s="3456">
        <v>0</v>
      </c>
      <c r="R51" s="3456"/>
      <c r="S51" s="3456">
        <v>1321629</v>
      </c>
      <c r="T51" s="1575"/>
      <c r="U51" s="794"/>
      <c r="V51" s="710"/>
      <c r="W51" s="711"/>
    </row>
    <row r="52" spans="1:23">
      <c r="A52" s="616" t="s">
        <v>409</v>
      </c>
      <c r="C52" s="3456">
        <v>13929540</v>
      </c>
      <c r="D52" s="1531"/>
      <c r="E52" s="3457">
        <v>0</v>
      </c>
      <c r="F52" s="1531"/>
      <c r="G52" s="3456">
        <f t="shared" si="0"/>
        <v>0</v>
      </c>
      <c r="H52" s="3457"/>
      <c r="I52" s="3457">
        <v>0</v>
      </c>
      <c r="J52" s="1531"/>
      <c r="K52" s="3457">
        <v>0</v>
      </c>
      <c r="L52" s="1531"/>
      <c r="M52" s="3456">
        <f t="shared" si="1"/>
        <v>13929540</v>
      </c>
      <c r="N52" s="631"/>
      <c r="O52" s="1574"/>
      <c r="P52" s="631"/>
      <c r="Q52" s="3456">
        <v>0</v>
      </c>
      <c r="R52" s="3456"/>
      <c r="S52" s="3456">
        <v>271912</v>
      </c>
      <c r="T52" s="1575"/>
      <c r="U52" s="794"/>
      <c r="V52" s="710"/>
      <c r="W52" s="711"/>
    </row>
    <row r="53" spans="1:23">
      <c r="A53" s="616" t="s">
        <v>803</v>
      </c>
      <c r="C53" s="3456">
        <v>691109424</v>
      </c>
      <c r="D53" s="1530"/>
      <c r="E53" s="3456">
        <v>0</v>
      </c>
      <c r="F53" s="1530"/>
      <c r="G53" s="3456">
        <f t="shared" si="0"/>
        <v>0</v>
      </c>
      <c r="H53" s="3456"/>
      <c r="I53" s="3456">
        <v>0</v>
      </c>
      <c r="J53" s="1530" t="s">
        <v>14</v>
      </c>
      <c r="K53" s="3456">
        <v>6870080</v>
      </c>
      <c r="L53" s="1530"/>
      <c r="M53" s="3456">
        <f t="shared" si="1"/>
        <v>684239344</v>
      </c>
      <c r="N53" s="631"/>
      <c r="O53" s="1574"/>
      <c r="P53" s="631"/>
      <c r="Q53" s="3456">
        <v>0</v>
      </c>
      <c r="R53" s="3456"/>
      <c r="S53" s="3456">
        <v>10214377</v>
      </c>
      <c r="T53" s="1575"/>
      <c r="U53" s="794"/>
      <c r="V53" s="710"/>
      <c r="W53" s="711"/>
    </row>
    <row r="54" spans="1:23">
      <c r="C54" s="3456"/>
      <c r="D54" s="1530"/>
      <c r="E54" s="3456"/>
      <c r="F54" s="1530"/>
      <c r="G54" s="3456" t="s">
        <v>14</v>
      </c>
      <c r="H54" s="3456"/>
      <c r="I54" s="3456"/>
      <c r="J54" s="1530"/>
      <c r="K54" s="3456"/>
      <c r="L54" s="1530"/>
      <c r="M54" s="3456" t="s">
        <v>14</v>
      </c>
      <c r="N54" s="631"/>
      <c r="O54" s="1574"/>
      <c r="P54" s="631"/>
      <c r="Q54" s="3456"/>
      <c r="R54" s="3456"/>
      <c r="S54" s="3456"/>
      <c r="U54" s="622"/>
      <c r="V54" s="710"/>
      <c r="W54" s="711"/>
    </row>
    <row r="55" spans="1:23">
      <c r="A55" s="616" t="s">
        <v>804</v>
      </c>
      <c r="C55" s="3456"/>
      <c r="D55" s="1530"/>
      <c r="E55" s="3456"/>
      <c r="F55" s="1530"/>
      <c r="G55" s="3456" t="s">
        <v>14</v>
      </c>
      <c r="H55" s="3456"/>
      <c r="I55" s="3456"/>
      <c r="J55" s="1530"/>
      <c r="K55" s="3456"/>
      <c r="L55" s="1530"/>
      <c r="M55" s="3456" t="s">
        <v>14</v>
      </c>
      <c r="N55" s="631"/>
      <c r="O55" s="1574"/>
      <c r="P55" s="631"/>
      <c r="Q55" s="3456"/>
      <c r="R55" s="3456"/>
      <c r="S55" s="3456"/>
      <c r="U55" s="1815"/>
      <c r="V55" s="710"/>
      <c r="W55" s="620"/>
    </row>
    <row r="56" spans="1:23">
      <c r="A56" s="616" t="s">
        <v>898</v>
      </c>
      <c r="C56" s="3456">
        <v>357668</v>
      </c>
      <c r="D56" s="1530"/>
      <c r="E56" s="3456">
        <v>0</v>
      </c>
      <c r="F56" s="1530"/>
      <c r="G56" s="3456">
        <f t="shared" si="0"/>
        <v>0</v>
      </c>
      <c r="H56" s="3456"/>
      <c r="I56" s="3456">
        <v>0</v>
      </c>
      <c r="J56" s="1530"/>
      <c r="K56" s="3456">
        <v>17446</v>
      </c>
      <c r="L56" s="1530"/>
      <c r="M56" s="3456">
        <f>ROUND(SUM(C56)-SUM(K56)+SUM(G56),0)</f>
        <v>340222</v>
      </c>
      <c r="N56" s="631"/>
      <c r="O56" s="1574"/>
      <c r="P56" s="631"/>
      <c r="Q56" s="3456">
        <v>0</v>
      </c>
      <c r="R56" s="3456"/>
      <c r="S56" s="3456">
        <v>8537</v>
      </c>
      <c r="T56" s="620"/>
      <c r="U56" s="794"/>
      <c r="V56" s="710"/>
      <c r="W56" s="711"/>
    </row>
    <row r="57" spans="1:23">
      <c r="A57" s="901" t="s">
        <v>871</v>
      </c>
      <c r="C57" s="3456">
        <v>1563392</v>
      </c>
      <c r="D57" s="1530"/>
      <c r="E57" s="3456">
        <v>0</v>
      </c>
      <c r="F57" s="1530"/>
      <c r="G57" s="3456">
        <f t="shared" si="0"/>
        <v>0</v>
      </c>
      <c r="H57" s="3456"/>
      <c r="I57" s="3456">
        <v>0</v>
      </c>
      <c r="J57" s="1530"/>
      <c r="K57" s="3456">
        <v>393136</v>
      </c>
      <c r="L57" s="1530"/>
      <c r="M57" s="3456">
        <f>ROUND(SUM(C57)-SUM(K57)+SUM(G57),0)</f>
        <v>1170256</v>
      </c>
      <c r="N57" s="631"/>
      <c r="O57" s="1574"/>
      <c r="P57" s="631"/>
      <c r="Q57" s="3706">
        <v>0</v>
      </c>
      <c r="R57" s="3706"/>
      <c r="S57" s="3706">
        <v>64954</v>
      </c>
      <c r="T57" s="620"/>
      <c r="U57" s="794"/>
      <c r="V57" s="710"/>
      <c r="W57" s="711"/>
    </row>
    <row r="58" spans="1:23" ht="13.5" customHeight="1">
      <c r="C58" s="3456"/>
      <c r="D58" s="1530"/>
      <c r="E58" s="3456"/>
      <c r="F58" s="1530"/>
      <c r="G58" s="3456" t="s">
        <v>14</v>
      </c>
      <c r="H58" s="3456"/>
      <c r="I58" s="3456"/>
      <c r="J58" s="1530"/>
      <c r="K58" s="3456"/>
      <c r="L58" s="1530"/>
      <c r="M58" s="3456" t="s">
        <v>14</v>
      </c>
      <c r="N58" s="631"/>
      <c r="O58" s="1574"/>
      <c r="P58" s="631"/>
      <c r="Q58" s="3456"/>
      <c r="R58" s="3456"/>
      <c r="S58" s="3456"/>
      <c r="U58" s="622"/>
      <c r="V58" s="710"/>
      <c r="W58" s="711"/>
    </row>
    <row r="59" spans="1:23">
      <c r="A59" s="616" t="s">
        <v>1177</v>
      </c>
      <c r="C59" s="3456">
        <v>306942604</v>
      </c>
      <c r="D59" s="1530"/>
      <c r="E59" s="3456">
        <v>0</v>
      </c>
      <c r="F59" s="1530"/>
      <c r="G59" s="3456">
        <f t="shared" si="0"/>
        <v>0</v>
      </c>
      <c r="H59" s="3456"/>
      <c r="I59" s="3456">
        <v>0</v>
      </c>
      <c r="J59" s="1530"/>
      <c r="K59" s="3456">
        <v>0</v>
      </c>
      <c r="L59" s="1530"/>
      <c r="M59" s="3456">
        <f>ROUND(SUM(C59)-SUM(K59)+SUM(G59),0)</f>
        <v>306942604</v>
      </c>
      <c r="N59" s="631"/>
      <c r="O59" s="1574"/>
      <c r="P59" s="631"/>
      <c r="Q59" s="3456">
        <v>0</v>
      </c>
      <c r="R59" s="3456"/>
      <c r="S59" s="3456">
        <v>5959880</v>
      </c>
      <c r="T59" s="620"/>
      <c r="U59" s="794"/>
      <c r="V59" s="710"/>
      <c r="W59" s="711"/>
    </row>
    <row r="60" spans="1:23" ht="13.5" customHeight="1">
      <c r="C60" s="3456"/>
      <c r="D60" s="1530"/>
      <c r="E60" s="3456"/>
      <c r="F60" s="1530"/>
      <c r="G60" s="3456" t="s">
        <v>14</v>
      </c>
      <c r="H60" s="3456"/>
      <c r="I60" s="3456"/>
      <c r="J60" s="1530"/>
      <c r="K60" s="3456"/>
      <c r="L60" s="1530"/>
      <c r="M60" s="3456" t="s">
        <v>14</v>
      </c>
      <c r="N60" s="631"/>
      <c r="O60" s="1574"/>
      <c r="P60" s="631"/>
      <c r="Q60" s="3456"/>
      <c r="R60" s="3456"/>
      <c r="S60" s="3456"/>
      <c r="U60" s="622"/>
      <c r="V60" s="710"/>
      <c r="W60" s="711"/>
    </row>
    <row r="61" spans="1:23">
      <c r="A61" s="616" t="s">
        <v>410</v>
      </c>
      <c r="C61" s="3456"/>
      <c r="D61" s="1530"/>
      <c r="E61" s="3456"/>
      <c r="F61" s="1530"/>
      <c r="G61" s="3456"/>
      <c r="H61" s="3456"/>
      <c r="I61" s="3456"/>
      <c r="J61" s="1530"/>
      <c r="K61" s="3456"/>
      <c r="L61" s="1530"/>
      <c r="M61" s="3456" t="s">
        <v>14</v>
      </c>
      <c r="N61" s="631"/>
      <c r="O61" s="1574"/>
      <c r="P61" s="631"/>
      <c r="Q61" s="3456"/>
      <c r="R61" s="3456"/>
      <c r="S61" s="3456"/>
      <c r="U61" s="1815"/>
      <c r="V61" s="710"/>
      <c r="W61" s="620"/>
    </row>
    <row r="62" spans="1:23">
      <c r="A62" s="616" t="s">
        <v>407</v>
      </c>
      <c r="C62" s="3456">
        <v>1648621</v>
      </c>
      <c r="D62" s="1530"/>
      <c r="E62" s="3456">
        <v>0</v>
      </c>
      <c r="F62" s="1530"/>
      <c r="G62" s="3456">
        <f t="shared" si="0"/>
        <v>0</v>
      </c>
      <c r="H62" s="3456"/>
      <c r="I62" s="3456">
        <v>0</v>
      </c>
      <c r="J62" s="1530"/>
      <c r="K62" s="3456">
        <v>837811</v>
      </c>
      <c r="L62" s="1530"/>
      <c r="M62" s="3456">
        <f>ROUND(SUM(C62)-SUM(K62)+SUM(G62),0)</f>
        <v>810810</v>
      </c>
      <c r="N62" s="631"/>
      <c r="O62" s="1574"/>
      <c r="P62" s="631"/>
      <c r="Q62" s="3456">
        <v>0</v>
      </c>
      <c r="R62" s="3456"/>
      <c r="S62" s="3456">
        <v>60379</v>
      </c>
      <c r="T62" s="620"/>
      <c r="U62" s="794"/>
      <c r="V62" s="710"/>
      <c r="W62" s="711"/>
    </row>
    <row r="63" spans="1:23">
      <c r="A63" s="616" t="s">
        <v>411</v>
      </c>
      <c r="C63" s="3456">
        <v>0</v>
      </c>
      <c r="D63" s="1530"/>
      <c r="E63" s="3456">
        <v>0</v>
      </c>
      <c r="F63" s="1530"/>
      <c r="G63" s="3456">
        <f t="shared" si="0"/>
        <v>0</v>
      </c>
      <c r="H63" s="3456"/>
      <c r="I63" s="3456">
        <v>0</v>
      </c>
      <c r="J63" s="1530"/>
      <c r="K63" s="1530">
        <v>0</v>
      </c>
      <c r="L63" s="1530"/>
      <c r="M63" s="3456">
        <f>ROUND(SUM(C63)-SUM(K63)+SUM(G63),0)</f>
        <v>0</v>
      </c>
      <c r="N63" s="631"/>
      <c r="O63" s="1574"/>
      <c r="P63" s="631"/>
      <c r="Q63" s="3456">
        <v>0</v>
      </c>
      <c r="R63" s="3456"/>
      <c r="S63" s="3456">
        <v>0</v>
      </c>
      <c r="T63" s="620"/>
      <c r="U63" s="794"/>
      <c r="V63" s="710"/>
      <c r="W63" s="711"/>
    </row>
    <row r="64" spans="1:23">
      <c r="B64" s="631"/>
      <c r="C64" s="3462"/>
      <c r="D64" s="1576"/>
      <c r="E64" s="3458"/>
      <c r="F64" s="1576"/>
      <c r="G64" s="3458"/>
      <c r="H64" s="3458"/>
      <c r="I64" s="3458"/>
      <c r="J64" s="3458"/>
      <c r="K64" s="3458"/>
      <c r="L64" s="3458"/>
      <c r="M64" s="3458"/>
      <c r="N64" s="631"/>
      <c r="O64" s="1574"/>
      <c r="P64" s="631"/>
      <c r="Q64" s="1577"/>
      <c r="R64" s="631"/>
      <c r="S64" s="1578"/>
      <c r="T64" s="626"/>
    </row>
    <row r="65" spans="1:23" ht="15" customHeight="1" thickBot="1">
      <c r="A65" s="618" t="s">
        <v>412</v>
      </c>
      <c r="B65" s="1579"/>
      <c r="C65" s="3459">
        <f>ROUND(SUM(C16:C63),2)</f>
        <v>2168969999</v>
      </c>
      <c r="D65" s="2131"/>
      <c r="E65" s="3459">
        <f>ROUND(SUM(E16:E64),2)</f>
        <v>0</v>
      </c>
      <c r="F65" s="2131"/>
      <c r="G65" s="3459">
        <f>ROUND(SUM(G16:G63),2)</f>
        <v>0</v>
      </c>
      <c r="H65" s="1579"/>
      <c r="I65" s="3459">
        <f>ROUND(SUM(I16:I63),2)</f>
        <v>0</v>
      </c>
      <c r="J65" s="1579"/>
      <c r="K65" s="3459">
        <f>ROUND(SUM(K16:K63),0)</f>
        <v>39015000</v>
      </c>
      <c r="L65" s="1579"/>
      <c r="M65" s="3459">
        <f>ROUND(SUM(M16:M63),2)</f>
        <v>2129954999</v>
      </c>
      <c r="N65" s="1580"/>
      <c r="O65" s="1581"/>
      <c r="P65" s="1579"/>
      <c r="Q65" s="3459">
        <f>ROUND(SUM(Q16:Q63),2)</f>
        <v>0</v>
      </c>
      <c r="R65" s="1579"/>
      <c r="S65" s="3459">
        <f>ROUND(SUM(S16:S63),0)</f>
        <v>35122499</v>
      </c>
      <c r="T65" s="1582"/>
      <c r="U65" s="2131"/>
      <c r="V65" s="765"/>
      <c r="W65" s="765"/>
    </row>
    <row r="66" spans="1:23" ht="15" customHeight="1" thickTop="1">
      <c r="A66" s="1583"/>
      <c r="B66" s="1584"/>
      <c r="C66" s="861"/>
      <c r="D66" s="1582"/>
      <c r="E66" s="1585"/>
      <c r="F66" s="1582"/>
      <c r="G66" s="1585"/>
      <c r="H66" s="1584"/>
      <c r="I66" s="1582"/>
      <c r="J66" s="1584"/>
      <c r="K66" s="1586"/>
      <c r="L66" s="1584"/>
      <c r="M66" s="861"/>
      <c r="N66" s="618"/>
      <c r="O66" s="618"/>
      <c r="P66" s="1584"/>
      <c r="Q66" s="1586"/>
      <c r="R66" s="1584"/>
      <c r="S66" s="1582"/>
      <c r="U66" s="766"/>
      <c r="V66" s="766"/>
      <c r="W66" s="766"/>
    </row>
    <row r="67" spans="1:23">
      <c r="A67" s="3791"/>
      <c r="B67" s="626"/>
      <c r="C67" s="865"/>
      <c r="D67" s="626"/>
      <c r="E67" s="626"/>
      <c r="F67" s="626"/>
      <c r="H67" s="631"/>
      <c r="I67" s="616"/>
      <c r="J67" s="631"/>
      <c r="K67" s="3782" t="s">
        <v>14</v>
      </c>
      <c r="L67" s="631"/>
      <c r="N67" s="626"/>
      <c r="P67" s="712"/>
    </row>
    <row r="68" spans="1:23">
      <c r="A68" s="712"/>
      <c r="C68" s="865" t="s">
        <v>14</v>
      </c>
      <c r="D68" s="626" t="s">
        <v>1163</v>
      </c>
      <c r="E68" s="767"/>
      <c r="F68" s="626"/>
      <c r="G68" s="626"/>
      <c r="H68" s="710"/>
      <c r="I68" s="631"/>
      <c r="J68" s="710"/>
      <c r="K68" s="3454" t="s">
        <v>14</v>
      </c>
      <c r="L68" s="711"/>
      <c r="M68" s="793" t="s">
        <v>14</v>
      </c>
      <c r="O68" s="626"/>
      <c r="P68" s="711"/>
      <c r="Q68" s="1841"/>
      <c r="R68" s="620"/>
      <c r="S68" s="1841"/>
    </row>
    <row r="69" spans="1:23">
      <c r="A69" s="632"/>
      <c r="C69" s="793" t="s">
        <v>14</v>
      </c>
      <c r="E69" s="1587"/>
      <c r="G69" s="630"/>
      <c r="I69" s="622"/>
      <c r="K69" s="622" t="s">
        <v>14</v>
      </c>
      <c r="Q69" s="620"/>
      <c r="S69" s="620"/>
      <c r="T69" s="619"/>
    </row>
    <row r="70" spans="1:23">
      <c r="C70" s="793" t="s">
        <v>14</v>
      </c>
      <c r="E70" s="631"/>
      <c r="G70" s="631"/>
      <c r="K70" s="3860"/>
      <c r="M70" s="794"/>
      <c r="O70" s="626"/>
      <c r="Q70" s="712"/>
    </row>
    <row r="71" spans="1:23">
      <c r="C71" s="793" t="s">
        <v>14</v>
      </c>
      <c r="D71" s="620"/>
      <c r="E71" s="621"/>
      <c r="F71" s="620"/>
      <c r="G71" s="621"/>
      <c r="I71" s="622"/>
      <c r="K71" s="622" t="s">
        <v>14</v>
      </c>
      <c r="M71" s="623"/>
      <c r="O71" s="626"/>
      <c r="Q71" s="627"/>
      <c r="S71" s="620"/>
    </row>
    <row r="72" spans="1:23">
      <c r="C72" s="793" t="s">
        <v>14</v>
      </c>
      <c r="D72" s="620"/>
      <c r="E72" s="621"/>
      <c r="F72" s="620"/>
      <c r="G72" s="711"/>
      <c r="I72" s="622"/>
      <c r="K72" s="622"/>
      <c r="M72" s="862"/>
      <c r="O72" s="626"/>
      <c r="Q72" s="711"/>
      <c r="S72" s="620"/>
    </row>
    <row r="73" spans="1:23">
      <c r="D73" s="620"/>
      <c r="E73" s="621"/>
      <c r="F73" s="620"/>
      <c r="G73" s="709"/>
      <c r="I73" s="622"/>
      <c r="K73" s="622"/>
      <c r="M73" s="794"/>
      <c r="O73" s="626"/>
      <c r="Q73" s="764"/>
      <c r="S73" s="620"/>
    </row>
    <row r="74" spans="1:23">
      <c r="D74" s="620"/>
      <c r="E74" s="621"/>
      <c r="F74" s="620"/>
      <c r="G74" s="621"/>
      <c r="I74" s="622"/>
      <c r="K74" s="622"/>
      <c r="M74" s="623"/>
      <c r="O74" s="626"/>
      <c r="Q74" s="627"/>
      <c r="S74" s="620"/>
      <c r="T74" s="619"/>
    </row>
    <row r="75" spans="1:23">
      <c r="D75" s="620"/>
      <c r="E75" s="621"/>
      <c r="F75" s="620"/>
      <c r="G75" s="621"/>
      <c r="I75" s="622"/>
      <c r="K75" s="622"/>
      <c r="M75" s="623"/>
      <c r="O75" s="626"/>
      <c r="Q75" s="627"/>
      <c r="S75" s="620"/>
    </row>
    <row r="76" spans="1:23">
      <c r="D76" s="620"/>
      <c r="E76" s="621"/>
      <c r="F76" s="620"/>
      <c r="G76" s="711"/>
      <c r="I76" s="622"/>
      <c r="K76" s="622"/>
      <c r="M76" s="862"/>
      <c r="O76" s="626"/>
      <c r="Q76" s="711"/>
      <c r="S76" s="620"/>
    </row>
    <row r="77" spans="1:23">
      <c r="D77" s="620"/>
      <c r="E77" s="621"/>
      <c r="F77" s="620"/>
      <c r="G77" s="709"/>
      <c r="I77" s="622"/>
      <c r="K77" s="622"/>
      <c r="M77" s="794"/>
      <c r="O77" s="626"/>
      <c r="Q77" s="764"/>
      <c r="S77" s="620"/>
    </row>
    <row r="78" spans="1:23">
      <c r="B78" s="626"/>
      <c r="C78" s="865"/>
      <c r="D78" s="768"/>
      <c r="E78" s="769"/>
      <c r="F78" s="768"/>
      <c r="G78" s="769"/>
      <c r="H78" s="626"/>
      <c r="I78" s="770"/>
      <c r="J78" s="626"/>
      <c r="K78" s="770"/>
      <c r="L78" s="626"/>
      <c r="M78" s="863"/>
      <c r="N78" s="626"/>
      <c r="O78" s="626"/>
      <c r="P78" s="626"/>
      <c r="Q78" s="771"/>
      <c r="R78" s="626"/>
      <c r="S78" s="768"/>
    </row>
    <row r="79" spans="1:23">
      <c r="A79" s="626"/>
      <c r="B79" s="626"/>
      <c r="C79" s="3463"/>
      <c r="D79" s="625"/>
      <c r="E79" s="772"/>
      <c r="F79" s="625"/>
      <c r="G79" s="772"/>
      <c r="H79" s="624"/>
      <c r="I79" s="628"/>
      <c r="J79" s="624"/>
      <c r="K79" s="628"/>
      <c r="L79" s="624"/>
      <c r="M79" s="864"/>
      <c r="N79" s="624"/>
      <c r="O79" s="624"/>
      <c r="P79" s="624"/>
      <c r="Q79" s="772"/>
      <c r="R79" s="624"/>
      <c r="S79" s="625"/>
    </row>
    <row r="80" spans="1:23">
      <c r="A80" s="624"/>
      <c r="C80" s="861"/>
      <c r="D80" s="766"/>
      <c r="E80" s="766"/>
      <c r="F80" s="766"/>
      <c r="G80" s="766"/>
      <c r="H80" s="618"/>
      <c r="I80" s="763"/>
      <c r="J80" s="618"/>
      <c r="K80" s="763"/>
      <c r="L80" s="618"/>
      <c r="M80" s="861"/>
      <c r="N80" s="618"/>
      <c r="O80" s="618"/>
      <c r="P80" s="618"/>
      <c r="Q80" s="766"/>
      <c r="R80" s="618"/>
      <c r="S80" s="766"/>
    </row>
    <row r="81" spans="1:13">
      <c r="A81" s="618"/>
    </row>
    <row r="82" spans="1:13">
      <c r="C82" s="3464"/>
      <c r="D82" s="712"/>
      <c r="F82" s="712"/>
    </row>
    <row r="83" spans="1:13">
      <c r="C83" s="3465"/>
      <c r="D83" s="632"/>
      <c r="E83" s="767"/>
      <c r="F83" s="632"/>
      <c r="G83" s="767"/>
      <c r="H83" s="626"/>
      <c r="I83" s="629"/>
      <c r="J83" s="626"/>
      <c r="K83" s="629"/>
      <c r="L83" s="626"/>
      <c r="M83" s="865"/>
    </row>
    <row r="84" spans="1:13">
      <c r="E84" s="1532"/>
      <c r="G84" s="713"/>
    </row>
    <row r="85" spans="1:13">
      <c r="E85" s="1588"/>
      <c r="G85" s="630"/>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53" workbookViewId="0"/>
  </sheetViews>
  <sheetFormatPr defaultColWidth="8.81640625" defaultRowHeight="13.2"/>
  <cols>
    <col min="1" max="1" width="3.81640625" style="1589" customWidth="1"/>
    <col min="2" max="2" width="43.81640625" style="1589" customWidth="1"/>
    <col min="3" max="3" width="2.08984375" style="1589" customWidth="1"/>
    <col min="4" max="4" width="13.81640625" style="1589" customWidth="1"/>
    <col min="5" max="5" width="2.08984375" style="1589" customWidth="1"/>
    <col min="6" max="6" width="24" style="1589" bestFit="1" customWidth="1"/>
    <col min="7" max="7" width="2.08984375" style="1589" customWidth="1"/>
    <col min="8" max="8" width="20.08984375" style="1589" customWidth="1"/>
    <col min="9" max="9" width="2.08984375" style="1589" customWidth="1"/>
    <col min="10" max="10" width="17.81640625" style="1589" bestFit="1" customWidth="1"/>
    <col min="11" max="11" width="2.08984375" style="1589" customWidth="1"/>
    <col min="12" max="12" width="17.81640625" style="1589" bestFit="1" customWidth="1"/>
    <col min="13" max="13" width="2.08984375" style="1589" customWidth="1"/>
    <col min="14" max="14" width="19.81640625" style="1589" bestFit="1" customWidth="1"/>
    <col min="15" max="15" width="2.08984375" style="1589" customWidth="1"/>
    <col min="16" max="16" width="18.453125" style="1589" bestFit="1" customWidth="1"/>
    <col min="17" max="17" width="2.08984375" style="1589" customWidth="1"/>
    <col min="18" max="18" width="19.81640625" style="1589" customWidth="1"/>
    <col min="19" max="19" width="2.08984375" style="1589" customWidth="1"/>
    <col min="20" max="20" width="19.81640625" style="1589" bestFit="1" customWidth="1"/>
    <col min="21" max="21" width="2.08984375" style="1589" customWidth="1"/>
    <col min="22" max="22" width="20.81640625" style="1589" bestFit="1" customWidth="1"/>
    <col min="23" max="23" width="17.08984375" style="1589" customWidth="1"/>
    <col min="24" max="24" width="18.54296875" style="1589" customWidth="1"/>
    <col min="25" max="25" width="35.08984375" style="1589" bestFit="1" customWidth="1"/>
    <col min="26" max="16384" width="8.81640625" style="1589"/>
  </cols>
  <sheetData>
    <row r="1" spans="1:23" ht="15">
      <c r="B1" s="925" t="s">
        <v>881</v>
      </c>
    </row>
    <row r="2" spans="1:23" ht="16.2">
      <c r="B2" s="2039"/>
      <c r="C2" s="2039"/>
      <c r="D2" s="2039"/>
      <c r="E2" s="2039"/>
      <c r="F2" s="2039"/>
      <c r="G2" s="2039"/>
      <c r="H2" s="2039"/>
      <c r="I2" s="2039"/>
      <c r="J2" s="2039"/>
      <c r="K2" s="2039"/>
      <c r="L2" s="2039"/>
      <c r="M2" s="2039"/>
      <c r="N2" s="2039"/>
      <c r="O2" s="2039"/>
      <c r="P2" s="2039"/>
      <c r="Q2" s="2039"/>
      <c r="R2" s="2039"/>
      <c r="S2" s="2039"/>
      <c r="T2" s="2039"/>
      <c r="U2" s="2039"/>
      <c r="V2" s="2039"/>
      <c r="W2" s="2040"/>
    </row>
    <row r="3" spans="1:23" ht="17.399999999999999">
      <c r="A3" s="1590"/>
      <c r="B3" s="2041" t="s">
        <v>0</v>
      </c>
      <c r="C3" s="2042"/>
      <c r="D3" s="2042"/>
      <c r="E3" s="2042"/>
      <c r="F3" s="2039"/>
      <c r="G3" s="2039"/>
      <c r="H3" s="2039"/>
      <c r="I3" s="2039"/>
      <c r="J3" s="2039"/>
      <c r="K3" s="2039"/>
      <c r="L3" s="2039"/>
      <c r="M3" s="2039"/>
      <c r="N3" s="2039"/>
      <c r="O3" s="2039"/>
      <c r="P3" s="2039"/>
      <c r="Q3" s="2039"/>
      <c r="R3" s="2039"/>
      <c r="S3" s="2039"/>
      <c r="T3" s="2039"/>
      <c r="U3" s="2039"/>
      <c r="V3" s="2043" t="s">
        <v>413</v>
      </c>
      <c r="W3" s="2044"/>
    </row>
    <row r="4" spans="1:23" ht="17.399999999999999">
      <c r="A4" s="1590"/>
      <c r="B4" s="2041" t="s">
        <v>414</v>
      </c>
      <c r="C4" s="2042"/>
      <c r="D4" s="2042"/>
      <c r="E4" s="2042"/>
      <c r="F4" s="2039"/>
      <c r="G4" s="2039"/>
      <c r="H4" s="2039"/>
      <c r="I4" s="2039"/>
      <c r="J4" s="2039"/>
      <c r="K4" s="2039"/>
      <c r="L4" s="2039"/>
      <c r="M4" s="2039"/>
      <c r="N4" s="2039"/>
      <c r="O4" s="2039"/>
      <c r="P4" s="2039"/>
      <c r="Q4" s="2039"/>
      <c r="R4" s="2039"/>
      <c r="S4" s="2039"/>
      <c r="T4" s="2039"/>
      <c r="U4" s="2039"/>
      <c r="V4" s="2045"/>
      <c r="W4" s="2040"/>
    </row>
    <row r="5" spans="1:23" ht="17.399999999999999">
      <c r="A5" s="1590"/>
      <c r="B5" s="2041" t="s">
        <v>415</v>
      </c>
      <c r="C5" s="2042"/>
      <c r="D5" s="2042"/>
      <c r="E5" s="2042"/>
      <c r="F5" s="2039"/>
      <c r="G5" s="2039"/>
      <c r="H5" s="2039"/>
      <c r="I5" s="2039"/>
      <c r="J5" s="2039"/>
      <c r="K5" s="2039"/>
      <c r="L5" s="2039"/>
      <c r="M5" s="2039"/>
      <c r="N5" s="2039"/>
      <c r="O5" s="2039"/>
      <c r="P5" s="2039"/>
      <c r="Q5" s="2039"/>
      <c r="R5" s="2039"/>
      <c r="S5" s="2039"/>
      <c r="T5" s="2039"/>
      <c r="U5" s="2039"/>
      <c r="V5" s="2039"/>
      <c r="W5" s="2040"/>
    </row>
    <row r="6" spans="1:23" ht="17.399999999999999">
      <c r="A6" s="1590"/>
      <c r="B6" s="2046" t="s">
        <v>1589</v>
      </c>
      <c r="C6" s="2047"/>
      <c r="D6" s="2042"/>
      <c r="E6" s="2042"/>
      <c r="F6" s="2039"/>
      <c r="G6" s="2039"/>
      <c r="H6" s="2039"/>
      <c r="I6" s="2039"/>
      <c r="J6" s="2039"/>
      <c r="K6" s="2039"/>
      <c r="L6" s="2039"/>
      <c r="M6" s="2039"/>
      <c r="N6" s="2039"/>
      <c r="O6" s="2039"/>
      <c r="P6" s="2039"/>
      <c r="Q6" s="2039"/>
      <c r="R6" s="2039"/>
      <c r="S6" s="2039"/>
      <c r="T6" s="2039"/>
      <c r="U6" s="2039"/>
      <c r="V6" s="2039"/>
      <c r="W6" s="2040"/>
    </row>
    <row r="7" spans="1:23" ht="16.2">
      <c r="A7" s="1590"/>
      <c r="B7" s="2048"/>
      <c r="C7" s="2048"/>
      <c r="D7" s="2042"/>
      <c r="E7" s="2042"/>
      <c r="F7" s="2039"/>
      <c r="G7" s="2039"/>
      <c r="H7" s="2039"/>
      <c r="I7" s="2039"/>
      <c r="J7" s="2039"/>
      <c r="K7" s="2039"/>
      <c r="L7" s="2039"/>
      <c r="M7" s="2039"/>
      <c r="N7" s="2039"/>
      <c r="O7" s="2039"/>
      <c r="P7" s="2039"/>
      <c r="Q7" s="2039"/>
      <c r="R7" s="2039"/>
      <c r="S7" s="2039"/>
      <c r="T7" s="2039"/>
      <c r="U7" s="2039"/>
      <c r="V7" s="2039"/>
      <c r="W7" s="2040"/>
    </row>
    <row r="8" spans="1:23" ht="5.25" customHeight="1">
      <c r="B8" s="2049"/>
      <c r="C8" s="2049"/>
      <c r="D8" s="2039"/>
      <c r="E8" s="2039"/>
      <c r="F8" s="2039"/>
      <c r="G8" s="2039"/>
      <c r="H8" s="2039"/>
      <c r="I8" s="2039"/>
      <c r="J8" s="2039"/>
      <c r="K8" s="2039"/>
      <c r="L8" s="2039"/>
      <c r="M8" s="2039"/>
      <c r="N8" s="2039"/>
      <c r="O8" s="2039"/>
      <c r="P8" s="2039"/>
      <c r="Q8" s="2039"/>
      <c r="R8" s="2039"/>
      <c r="S8" s="2039"/>
      <c r="T8" s="2039"/>
      <c r="U8" s="2039"/>
      <c r="V8" s="2039"/>
      <c r="W8" s="2040"/>
    </row>
    <row r="9" spans="1:23" ht="16.2">
      <c r="B9" s="2039"/>
      <c r="C9" s="2039"/>
      <c r="E9" s="2050"/>
      <c r="F9" s="2050"/>
      <c r="G9" s="2050"/>
      <c r="H9" s="2050"/>
      <c r="I9" s="2050"/>
      <c r="J9" s="2050" t="s">
        <v>416</v>
      </c>
      <c r="K9" s="2050"/>
      <c r="L9" s="2050"/>
      <c r="M9" s="2050"/>
      <c r="N9" s="2050"/>
      <c r="O9" s="2050"/>
      <c r="P9" s="2050"/>
      <c r="Q9" s="2050"/>
      <c r="R9" s="2039"/>
      <c r="S9" s="2039"/>
      <c r="T9" s="2039"/>
      <c r="U9" s="2039"/>
      <c r="V9" s="2039"/>
      <c r="W9" s="2040"/>
    </row>
    <row r="10" spans="1:23" ht="16.2">
      <c r="B10" s="2039"/>
      <c r="C10" s="2039"/>
      <c r="D10" s="2050" t="s">
        <v>120</v>
      </c>
      <c r="E10" s="2051"/>
      <c r="F10" s="2051" t="s">
        <v>103</v>
      </c>
      <c r="G10" s="2051"/>
      <c r="H10" s="2051" t="s">
        <v>418</v>
      </c>
      <c r="I10" s="2051"/>
      <c r="J10" s="2051" t="s">
        <v>419</v>
      </c>
      <c r="K10" s="2051"/>
      <c r="L10" s="2051" t="s">
        <v>420</v>
      </c>
      <c r="M10" s="2051"/>
      <c r="N10" s="2051" t="s">
        <v>9</v>
      </c>
      <c r="O10" s="2051"/>
      <c r="P10" s="2051" t="s">
        <v>805</v>
      </c>
      <c r="Q10" s="2051"/>
      <c r="R10" s="2039"/>
      <c r="S10" s="2039"/>
      <c r="T10" s="2039"/>
      <c r="U10" s="2039"/>
      <c r="V10" s="2039"/>
      <c r="W10" s="2040"/>
    </row>
    <row r="11" spans="1:23" ht="16.2">
      <c r="B11" s="2039"/>
      <c r="C11" s="2039"/>
      <c r="D11" s="2051" t="s">
        <v>417</v>
      </c>
      <c r="E11" s="2051"/>
      <c r="F11" s="2051" t="s">
        <v>120</v>
      </c>
      <c r="G11" s="2051"/>
      <c r="H11" s="2051" t="s">
        <v>422</v>
      </c>
      <c r="I11" s="2051"/>
      <c r="J11" s="2051" t="s">
        <v>423</v>
      </c>
      <c r="K11" s="2051"/>
      <c r="L11" s="2051" t="s">
        <v>424</v>
      </c>
      <c r="M11" s="2051"/>
      <c r="N11" s="2052" t="s">
        <v>425</v>
      </c>
      <c r="O11" s="2051"/>
      <c r="P11" s="2051" t="s">
        <v>806</v>
      </c>
      <c r="Q11" s="2051"/>
      <c r="R11" s="2054" t="s">
        <v>426</v>
      </c>
      <c r="S11" s="2054"/>
      <c r="T11" s="2054"/>
      <c r="U11" s="2039"/>
      <c r="V11" s="2039"/>
      <c r="W11" s="2040"/>
    </row>
    <row r="12" spans="1:23" ht="18.600000000000001">
      <c r="B12" s="2039"/>
      <c r="C12" s="2039"/>
      <c r="D12" s="2051" t="s">
        <v>421</v>
      </c>
      <c r="E12" s="2051"/>
      <c r="F12" s="2051" t="s">
        <v>10</v>
      </c>
      <c r="G12" s="2051"/>
      <c r="H12" s="2051" t="s">
        <v>427</v>
      </c>
      <c r="I12" s="2051"/>
      <c r="J12" s="2051" t="s">
        <v>428</v>
      </c>
      <c r="K12" s="2051"/>
      <c r="L12" s="2051" t="s">
        <v>1508</v>
      </c>
      <c r="M12" s="2051"/>
      <c r="N12" s="2052" t="s">
        <v>1504</v>
      </c>
      <c r="O12" s="2052"/>
      <c r="P12" s="2051" t="s">
        <v>428</v>
      </c>
      <c r="Q12" s="2051"/>
      <c r="R12" s="2053" t="s">
        <v>1577</v>
      </c>
      <c r="S12" s="2053"/>
      <c r="T12" s="2053"/>
      <c r="U12" s="2039"/>
      <c r="V12" s="2050" t="s">
        <v>807</v>
      </c>
      <c r="W12" s="2055"/>
    </row>
    <row r="13" spans="1:23" ht="16.2">
      <c r="A13" s="1591"/>
      <c r="B13" s="2056" t="s">
        <v>436</v>
      </c>
      <c r="C13" s="2057"/>
      <c r="D13" s="2058" t="s">
        <v>429</v>
      </c>
      <c r="E13" s="2055"/>
      <c r="F13" s="2058" t="s">
        <v>430</v>
      </c>
      <c r="G13" s="2055"/>
      <c r="H13" s="2059" t="s">
        <v>431</v>
      </c>
      <c r="I13" s="2055"/>
      <c r="J13" s="2059" t="s">
        <v>432</v>
      </c>
      <c r="K13" s="2055"/>
      <c r="L13" s="2059" t="s">
        <v>433</v>
      </c>
      <c r="M13" s="2055"/>
      <c r="N13" s="2060" t="s">
        <v>434</v>
      </c>
      <c r="O13" s="2055"/>
      <c r="P13" s="2060" t="s">
        <v>808</v>
      </c>
      <c r="Q13" s="2055"/>
      <c r="R13" s="2061">
        <v>2022</v>
      </c>
      <c r="S13" s="2061"/>
      <c r="T13" s="2061">
        <v>2021</v>
      </c>
      <c r="U13" s="2055"/>
      <c r="V13" s="2062" t="s">
        <v>435</v>
      </c>
      <c r="W13" s="2055"/>
    </row>
    <row r="14" spans="1:23" ht="16.2">
      <c r="B14" s="2057" t="s">
        <v>437</v>
      </c>
      <c r="C14" s="2057"/>
      <c r="D14" s="2063"/>
      <c r="E14" s="2063"/>
      <c r="F14" s="2064"/>
      <c r="G14" s="2064"/>
      <c r="H14" s="2065"/>
      <c r="I14" s="2065"/>
      <c r="J14" s="2065"/>
      <c r="K14" s="2065"/>
      <c r="L14" s="2065"/>
      <c r="M14" s="2065"/>
      <c r="N14" s="2063"/>
      <c r="O14" s="2063"/>
      <c r="P14" s="2063"/>
      <c r="Q14" s="2063"/>
      <c r="R14" s="2065"/>
      <c r="S14" s="2065"/>
      <c r="T14" s="2066"/>
      <c r="U14" s="2066"/>
      <c r="V14" s="2067"/>
      <c r="W14" s="2040"/>
    </row>
    <row r="15" spans="1:23" ht="16.2">
      <c r="A15" s="1592"/>
      <c r="B15" s="2049" t="s">
        <v>438</v>
      </c>
      <c r="C15" s="2049"/>
      <c r="D15" s="2068">
        <v>0</v>
      </c>
      <c r="E15" s="2068"/>
      <c r="F15" s="2068">
        <v>27593459</v>
      </c>
      <c r="G15" s="2069"/>
      <c r="H15" s="2068">
        <v>0</v>
      </c>
      <c r="I15" s="2069"/>
      <c r="J15" s="2068">
        <v>0</v>
      </c>
      <c r="K15" s="2069"/>
      <c r="L15" s="2068">
        <v>0</v>
      </c>
      <c r="M15" s="2069"/>
      <c r="N15" s="2068">
        <v>0</v>
      </c>
      <c r="O15" s="2069"/>
      <c r="P15" s="2068">
        <v>0</v>
      </c>
      <c r="Q15" s="2069"/>
      <c r="R15" s="2068">
        <f>ROUND(SUM(D15:Q15),0)</f>
        <v>27593459</v>
      </c>
      <c r="S15" s="2068"/>
      <c r="T15" s="3441">
        <v>7115904</v>
      </c>
      <c r="U15" s="2069"/>
      <c r="V15" s="2070">
        <f>ROUND(R15-T15,0)</f>
        <v>20477555</v>
      </c>
      <c r="W15" s="2068"/>
    </row>
    <row r="16" spans="1:23" ht="16.2">
      <c r="A16" s="1592"/>
      <c r="B16" s="2039" t="s">
        <v>439</v>
      </c>
      <c r="C16" s="2039"/>
      <c r="D16" s="2071"/>
      <c r="E16" s="2071"/>
      <c r="F16" s="2071"/>
      <c r="G16" s="2071"/>
      <c r="H16" s="2071"/>
      <c r="I16" s="2071"/>
      <c r="J16" s="2071"/>
      <c r="K16" s="2069"/>
      <c r="L16" s="2071"/>
      <c r="M16" s="2072"/>
      <c r="N16" s="2071"/>
      <c r="O16" s="2072"/>
      <c r="P16" s="2071"/>
      <c r="Q16" s="2072"/>
      <c r="R16" s="2072"/>
      <c r="S16" s="2072"/>
      <c r="T16" s="3442"/>
      <c r="U16" s="2072"/>
      <c r="V16" s="2073"/>
      <c r="W16" s="2068"/>
    </row>
    <row r="17" spans="1:23" ht="16.2">
      <c r="A17" s="1592"/>
      <c r="B17" s="2039" t="s">
        <v>1141</v>
      </c>
      <c r="C17" s="2039"/>
      <c r="D17" s="2071">
        <v>0</v>
      </c>
      <c r="E17" s="2071">
        <v>0</v>
      </c>
      <c r="F17" s="2071">
        <v>0</v>
      </c>
      <c r="G17" s="2071">
        <v>0</v>
      </c>
      <c r="H17" s="2071">
        <v>0</v>
      </c>
      <c r="I17" s="2071">
        <v>0</v>
      </c>
      <c r="J17" s="2071">
        <v>0</v>
      </c>
      <c r="K17" s="2071">
        <v>0</v>
      </c>
      <c r="L17" s="2071">
        <v>0</v>
      </c>
      <c r="M17" s="2071"/>
      <c r="N17" s="2071">
        <v>0</v>
      </c>
      <c r="O17" s="2071">
        <v>0</v>
      </c>
      <c r="P17" s="2071">
        <v>0</v>
      </c>
      <c r="Q17" s="2071">
        <v>0</v>
      </c>
      <c r="R17" s="2072">
        <f>ROUND(SUM(D17:Q17),0)</f>
        <v>0</v>
      </c>
      <c r="S17" s="2072"/>
      <c r="T17" s="3443">
        <v>0</v>
      </c>
      <c r="U17" s="2074"/>
      <c r="V17" s="2074">
        <f t="shared" ref="V17:V26" si="0">SUM(R17-T17,0)</f>
        <v>0</v>
      </c>
      <c r="W17" s="2068"/>
    </row>
    <row r="18" spans="1:23" ht="16.2">
      <c r="A18" s="1592"/>
      <c r="B18" s="2039" t="s">
        <v>1142</v>
      </c>
      <c r="C18" s="2039"/>
      <c r="D18" s="2071">
        <v>0</v>
      </c>
      <c r="E18" s="2071">
        <v>0</v>
      </c>
      <c r="F18" s="2071">
        <v>0</v>
      </c>
      <c r="G18" s="2071">
        <v>0</v>
      </c>
      <c r="H18" s="2071">
        <v>0</v>
      </c>
      <c r="I18" s="2071">
        <v>0</v>
      </c>
      <c r="J18" s="2071">
        <v>0</v>
      </c>
      <c r="K18" s="2071">
        <v>0</v>
      </c>
      <c r="L18" s="2071">
        <v>0</v>
      </c>
      <c r="M18" s="2071"/>
      <c r="N18" s="2071">
        <v>726117512</v>
      </c>
      <c r="O18" s="2071"/>
      <c r="P18" s="2071">
        <v>29531110</v>
      </c>
      <c r="Q18" s="2071">
        <v>0</v>
      </c>
      <c r="R18" s="2072">
        <f t="shared" ref="R18:R26" si="1">ROUND(SUM(D18:Q18),0)</f>
        <v>755648622</v>
      </c>
      <c r="S18" s="2072"/>
      <c r="T18" s="2071">
        <v>1960904604</v>
      </c>
      <c r="U18" s="2074"/>
      <c r="V18" s="2074">
        <f t="shared" si="0"/>
        <v>-1205255982</v>
      </c>
      <c r="W18" s="2068"/>
    </row>
    <row r="19" spans="1:23" ht="16.2">
      <c r="A19" s="1592"/>
      <c r="B19" s="2039" t="s">
        <v>440</v>
      </c>
      <c r="C19" s="2039"/>
      <c r="D19" s="2071">
        <v>0</v>
      </c>
      <c r="E19" s="2071">
        <v>0</v>
      </c>
      <c r="F19" s="2071">
        <v>0</v>
      </c>
      <c r="G19" s="2071">
        <v>0</v>
      </c>
      <c r="H19" s="2071">
        <v>24122878</v>
      </c>
      <c r="I19" s="2071">
        <v>0</v>
      </c>
      <c r="J19" s="2071">
        <v>0</v>
      </c>
      <c r="K19" s="2071">
        <v>0</v>
      </c>
      <c r="L19" s="2071">
        <v>0</v>
      </c>
      <c r="M19" s="2071"/>
      <c r="N19" s="2071">
        <v>0</v>
      </c>
      <c r="O19" s="2071"/>
      <c r="P19" s="2071">
        <v>0</v>
      </c>
      <c r="Q19" s="2071">
        <v>0</v>
      </c>
      <c r="R19" s="2072">
        <f>ROUND(SUM(D19:Q19),0)</f>
        <v>24122878</v>
      </c>
      <c r="S19" s="2072"/>
      <c r="T19" s="2071">
        <v>25467940</v>
      </c>
      <c r="U19" s="2074"/>
      <c r="V19" s="2074">
        <f t="shared" si="0"/>
        <v>-1345062</v>
      </c>
      <c r="W19" s="2068"/>
    </row>
    <row r="20" spans="1:23" ht="16.2">
      <c r="A20" s="1592"/>
      <c r="B20" s="2039" t="s">
        <v>899</v>
      </c>
      <c r="C20" s="2039"/>
      <c r="D20" s="2071">
        <v>0</v>
      </c>
      <c r="E20" s="2071">
        <v>0</v>
      </c>
      <c r="F20" s="2071">
        <v>0</v>
      </c>
      <c r="G20" s="2071">
        <v>0</v>
      </c>
      <c r="H20" s="2071">
        <v>0</v>
      </c>
      <c r="I20" s="2071">
        <v>0</v>
      </c>
      <c r="J20" s="2071">
        <v>0</v>
      </c>
      <c r="K20" s="2071">
        <v>0</v>
      </c>
      <c r="L20" s="2071">
        <v>10043312</v>
      </c>
      <c r="M20" s="2071"/>
      <c r="N20" s="2071">
        <v>0</v>
      </c>
      <c r="O20" s="2071"/>
      <c r="P20" s="2071">
        <v>0</v>
      </c>
      <c r="Q20" s="2071">
        <v>0</v>
      </c>
      <c r="R20" s="2072">
        <f>ROUND(SUM(D20:Q20),0)</f>
        <v>10043312</v>
      </c>
      <c r="S20" s="2072"/>
      <c r="T20" s="2071">
        <v>8334210</v>
      </c>
      <c r="U20" s="2075"/>
      <c r="V20" s="2074">
        <f t="shared" si="0"/>
        <v>1709102</v>
      </c>
      <c r="W20" s="2068"/>
    </row>
    <row r="21" spans="1:23" ht="16.2">
      <c r="A21" s="1592"/>
      <c r="B21" s="2039" t="s">
        <v>753</v>
      </c>
      <c r="C21" s="2039"/>
      <c r="D21" s="2071">
        <v>0</v>
      </c>
      <c r="E21" s="2071">
        <v>0</v>
      </c>
      <c r="F21" s="2071">
        <v>1627568</v>
      </c>
      <c r="G21" s="2071">
        <v>0</v>
      </c>
      <c r="H21" s="2071">
        <v>0</v>
      </c>
      <c r="I21" s="2071">
        <v>0</v>
      </c>
      <c r="J21" s="2071">
        <v>0</v>
      </c>
      <c r="K21" s="2071">
        <v>0</v>
      </c>
      <c r="L21" s="2071">
        <v>0</v>
      </c>
      <c r="M21" s="2071"/>
      <c r="N21" s="2071">
        <v>0</v>
      </c>
      <c r="O21" s="2071"/>
      <c r="P21" s="2071">
        <v>0</v>
      </c>
      <c r="Q21" s="2071">
        <v>0</v>
      </c>
      <c r="R21" s="2072">
        <f t="shared" si="1"/>
        <v>1627568</v>
      </c>
      <c r="S21" s="2072"/>
      <c r="T21" s="2071">
        <v>2495165</v>
      </c>
      <c r="U21" s="2075"/>
      <c r="V21" s="2074">
        <f t="shared" si="0"/>
        <v>-867597</v>
      </c>
      <c r="W21" s="2068"/>
    </row>
    <row r="22" spans="1:23" ht="16.2">
      <c r="A22" s="1592"/>
      <c r="B22" s="2039" t="s">
        <v>1143</v>
      </c>
      <c r="C22" s="2039"/>
      <c r="D22" s="2071">
        <v>0</v>
      </c>
      <c r="E22" s="2071">
        <v>0</v>
      </c>
      <c r="F22" s="2071">
        <v>10879525</v>
      </c>
      <c r="G22" s="2071">
        <v>0</v>
      </c>
      <c r="H22" s="2071">
        <v>0</v>
      </c>
      <c r="I22" s="2071">
        <v>0</v>
      </c>
      <c r="J22" s="2071">
        <v>0</v>
      </c>
      <c r="K22" s="2071">
        <v>0</v>
      </c>
      <c r="L22" s="2071">
        <v>0</v>
      </c>
      <c r="M22" s="2071"/>
      <c r="N22" s="2071">
        <v>0</v>
      </c>
      <c r="O22" s="2071"/>
      <c r="P22" s="2071">
        <v>0</v>
      </c>
      <c r="Q22" s="2071">
        <v>0</v>
      </c>
      <c r="R22" s="2072">
        <f t="shared" si="1"/>
        <v>10879525</v>
      </c>
      <c r="S22" s="2072"/>
      <c r="T22" s="2071">
        <v>8347200</v>
      </c>
      <c r="U22" s="2074"/>
      <c r="V22" s="2074">
        <f t="shared" si="0"/>
        <v>2532325</v>
      </c>
      <c r="W22" s="2068"/>
    </row>
    <row r="23" spans="1:23" ht="16.2">
      <c r="A23" s="1592"/>
      <c r="B23" s="2039" t="s">
        <v>1144</v>
      </c>
      <c r="C23" s="2039"/>
      <c r="D23" s="2071">
        <v>0</v>
      </c>
      <c r="E23" s="2071">
        <v>0</v>
      </c>
      <c r="F23" s="2071">
        <v>105416691</v>
      </c>
      <c r="G23" s="2071">
        <v>0</v>
      </c>
      <c r="H23" s="2071">
        <v>0</v>
      </c>
      <c r="I23" s="2071">
        <v>0</v>
      </c>
      <c r="J23" s="2071">
        <v>0</v>
      </c>
      <c r="K23" s="2071">
        <v>0</v>
      </c>
      <c r="L23" s="2071">
        <v>0</v>
      </c>
      <c r="M23" s="2071"/>
      <c r="N23" s="2071">
        <v>0</v>
      </c>
      <c r="O23" s="2071"/>
      <c r="P23" s="2071">
        <v>0</v>
      </c>
      <c r="Q23" s="2071">
        <v>0</v>
      </c>
      <c r="R23" s="2072">
        <f t="shared" si="1"/>
        <v>105416691</v>
      </c>
      <c r="S23" s="2072"/>
      <c r="T23" s="2071">
        <v>25819812</v>
      </c>
      <c r="U23" s="2074"/>
      <c r="V23" s="2074">
        <f t="shared" si="0"/>
        <v>79596879</v>
      </c>
      <c r="W23" s="2068"/>
    </row>
    <row r="24" spans="1:23" ht="16.2">
      <c r="A24" s="1592"/>
      <c r="B24" s="2039" t="s">
        <v>441</v>
      </c>
      <c r="C24" s="2039"/>
      <c r="D24" s="2071">
        <v>0</v>
      </c>
      <c r="E24" s="2071">
        <v>0</v>
      </c>
      <c r="F24" s="2071">
        <v>0</v>
      </c>
      <c r="G24" s="2071">
        <v>0</v>
      </c>
      <c r="H24" s="2071">
        <v>0</v>
      </c>
      <c r="I24" s="2071">
        <v>0</v>
      </c>
      <c r="J24" s="2071">
        <v>0</v>
      </c>
      <c r="K24" s="2071">
        <v>0</v>
      </c>
      <c r="L24" s="2071">
        <v>0</v>
      </c>
      <c r="M24" s="2071"/>
      <c r="N24" s="2071">
        <v>0</v>
      </c>
      <c r="O24" s="2071"/>
      <c r="P24" s="2071">
        <v>0</v>
      </c>
      <c r="Q24" s="2071">
        <v>0</v>
      </c>
      <c r="R24" s="2072">
        <f t="shared" si="1"/>
        <v>0</v>
      </c>
      <c r="S24" s="2072"/>
      <c r="T24" s="3443">
        <v>17266263</v>
      </c>
      <c r="U24" s="2074"/>
      <c r="V24" s="2074">
        <f t="shared" si="0"/>
        <v>-17266263</v>
      </c>
      <c r="W24" s="2068"/>
    </row>
    <row r="25" spans="1:23" ht="16.2">
      <c r="A25" s="1592"/>
      <c r="B25" s="2039" t="s">
        <v>442</v>
      </c>
      <c r="C25" s="2039"/>
      <c r="D25" s="2071">
        <v>0</v>
      </c>
      <c r="E25" s="2071">
        <v>0</v>
      </c>
      <c r="F25" s="2071">
        <v>1772122</v>
      </c>
      <c r="G25" s="2071">
        <v>0</v>
      </c>
      <c r="H25" s="2071">
        <v>0</v>
      </c>
      <c r="I25" s="2071">
        <v>0</v>
      </c>
      <c r="J25" s="2071">
        <v>0</v>
      </c>
      <c r="K25" s="2071">
        <v>0</v>
      </c>
      <c r="L25" s="2071">
        <v>0</v>
      </c>
      <c r="M25" s="2071"/>
      <c r="N25" s="2071">
        <v>0</v>
      </c>
      <c r="O25" s="2071"/>
      <c r="P25" s="2071">
        <v>0</v>
      </c>
      <c r="Q25" s="2071">
        <v>0</v>
      </c>
      <c r="R25" s="2072">
        <f t="shared" si="1"/>
        <v>1772122</v>
      </c>
      <c r="S25" s="2072"/>
      <c r="T25" s="3443">
        <v>15828552</v>
      </c>
      <c r="U25" s="2074"/>
      <c r="V25" s="2074">
        <f t="shared" si="0"/>
        <v>-14056430</v>
      </c>
      <c r="W25" s="2068"/>
    </row>
    <row r="26" spans="1:23" ht="16.2">
      <c r="A26" s="1592"/>
      <c r="B26" s="2039" t="s">
        <v>1145</v>
      </c>
      <c r="C26" s="2039"/>
      <c r="D26" s="2071">
        <v>0</v>
      </c>
      <c r="E26" s="2071">
        <v>0</v>
      </c>
      <c r="F26" s="2071">
        <v>0</v>
      </c>
      <c r="G26" s="2071">
        <v>0</v>
      </c>
      <c r="H26" s="2071">
        <v>0</v>
      </c>
      <c r="I26" s="2071">
        <v>0</v>
      </c>
      <c r="J26" s="2071">
        <v>0</v>
      </c>
      <c r="K26" s="2071">
        <v>0</v>
      </c>
      <c r="L26" s="2071">
        <v>0</v>
      </c>
      <c r="M26" s="2071"/>
      <c r="N26" s="2071">
        <v>0</v>
      </c>
      <c r="O26" s="2071"/>
      <c r="P26" s="2071">
        <v>0</v>
      </c>
      <c r="Q26" s="2071">
        <v>0</v>
      </c>
      <c r="R26" s="2072">
        <f t="shared" si="1"/>
        <v>0</v>
      </c>
      <c r="S26" s="2072"/>
      <c r="T26" s="3443">
        <v>0</v>
      </c>
      <c r="U26" s="2074"/>
      <c r="V26" s="2074">
        <f t="shared" si="0"/>
        <v>0</v>
      </c>
      <c r="W26" s="2068"/>
    </row>
    <row r="27" spans="1:23" ht="16.2">
      <c r="A27" s="1592"/>
      <c r="B27" s="2039" t="s">
        <v>443</v>
      </c>
      <c r="C27" s="2039"/>
      <c r="D27" s="2076"/>
      <c r="E27" s="2076"/>
      <c r="F27" s="2076"/>
      <c r="G27" s="2076"/>
      <c r="H27" s="2076"/>
      <c r="I27" s="2076"/>
      <c r="J27" s="2076"/>
      <c r="K27" s="2076"/>
      <c r="L27" s="2076"/>
      <c r="M27" s="2076"/>
      <c r="N27" s="2076"/>
      <c r="O27" s="2076"/>
      <c r="P27" s="2076"/>
      <c r="Q27" s="2076"/>
      <c r="R27" s="2072"/>
      <c r="S27" s="2072"/>
      <c r="T27" s="3443"/>
      <c r="U27" s="2074"/>
      <c r="V27" s="2072"/>
      <c r="W27" s="2068"/>
    </row>
    <row r="28" spans="1:23" ht="16.2">
      <c r="A28" s="1592"/>
      <c r="B28" s="2039" t="s">
        <v>444</v>
      </c>
      <c r="C28" s="2039"/>
      <c r="D28" s="2071">
        <v>0</v>
      </c>
      <c r="E28" s="2071">
        <v>0</v>
      </c>
      <c r="F28" s="2071">
        <v>0</v>
      </c>
      <c r="G28" s="2071">
        <v>0</v>
      </c>
      <c r="H28" s="2071">
        <v>0</v>
      </c>
      <c r="I28" s="2071">
        <v>0</v>
      </c>
      <c r="J28" s="2071">
        <v>0</v>
      </c>
      <c r="K28" s="2071">
        <v>0</v>
      </c>
      <c r="L28" s="2071">
        <v>0</v>
      </c>
      <c r="M28" s="2071"/>
      <c r="N28" s="2071">
        <v>0</v>
      </c>
      <c r="O28" s="2071"/>
      <c r="P28" s="2071">
        <v>0</v>
      </c>
      <c r="Q28" s="2071">
        <v>0</v>
      </c>
      <c r="R28" s="2072">
        <f>ROUND(SUM(D28:Q28),0)</f>
        <v>0</v>
      </c>
      <c r="S28" s="2072"/>
      <c r="T28" s="3443">
        <v>0</v>
      </c>
      <c r="U28" s="2074"/>
      <c r="V28" s="2074">
        <f>SUM(R28-T28,0)</f>
        <v>0</v>
      </c>
      <c r="W28" s="2068"/>
    </row>
    <row r="29" spans="1:23" ht="16.2">
      <c r="A29" s="1592"/>
      <c r="B29" s="2039" t="s">
        <v>858</v>
      </c>
      <c r="C29" s="2039"/>
      <c r="D29" s="2071"/>
      <c r="E29" s="2071"/>
      <c r="F29" s="2071"/>
      <c r="G29" s="2072"/>
      <c r="H29" s="2071"/>
      <c r="I29" s="2071"/>
      <c r="J29" s="2071"/>
      <c r="K29" s="2072"/>
      <c r="L29" s="2071"/>
      <c r="M29" s="2072"/>
      <c r="N29" s="2071"/>
      <c r="O29" s="2072"/>
      <c r="P29" s="2071"/>
      <c r="Q29" s="2072"/>
      <c r="R29" s="2072"/>
      <c r="S29" s="2072"/>
      <c r="T29" s="3443"/>
      <c r="U29" s="2074"/>
      <c r="V29" s="2072"/>
      <c r="W29" s="2068"/>
    </row>
    <row r="30" spans="1:23" ht="17.100000000000001" customHeight="1">
      <c r="A30" s="1592"/>
      <c r="B30" s="2039" t="s">
        <v>857</v>
      </c>
      <c r="C30" s="2039"/>
      <c r="D30" s="2071">
        <v>0</v>
      </c>
      <c r="E30" s="2071"/>
      <c r="F30" s="2071">
        <v>70841686</v>
      </c>
      <c r="G30" s="2072"/>
      <c r="H30" s="2071">
        <v>0</v>
      </c>
      <c r="I30" s="2071"/>
      <c r="J30" s="2071">
        <v>0</v>
      </c>
      <c r="K30" s="2072"/>
      <c r="L30" s="2071">
        <v>0</v>
      </c>
      <c r="M30" s="2072"/>
      <c r="N30" s="2071">
        <v>0</v>
      </c>
      <c r="O30" s="2072"/>
      <c r="P30" s="2071">
        <v>0</v>
      </c>
      <c r="Q30" s="2072"/>
      <c r="R30" s="2072">
        <f>ROUND(SUM(D30:Q30),0)</f>
        <v>70841686</v>
      </c>
      <c r="S30" s="2072"/>
      <c r="T30" s="3477">
        <v>102143862</v>
      </c>
      <c r="U30" s="2074"/>
      <c r="V30" s="2074">
        <f t="shared" ref="V30:V41" si="2">SUM(R30-T30,0)</f>
        <v>-31302176</v>
      </c>
      <c r="W30" s="2068"/>
    </row>
    <row r="31" spans="1:23" ht="16.2">
      <c r="A31" s="1592"/>
      <c r="B31" s="2039" t="s">
        <v>856</v>
      </c>
      <c r="C31" s="2039"/>
      <c r="D31" s="2071">
        <v>0</v>
      </c>
      <c r="E31" s="2071">
        <v>0</v>
      </c>
      <c r="F31" s="2071">
        <v>0</v>
      </c>
      <c r="G31" s="2071">
        <v>0</v>
      </c>
      <c r="H31" s="2071">
        <v>0</v>
      </c>
      <c r="I31" s="2071">
        <v>0</v>
      </c>
      <c r="J31" s="2071">
        <v>0</v>
      </c>
      <c r="K31" s="2071">
        <v>0</v>
      </c>
      <c r="L31" s="2071">
        <v>0</v>
      </c>
      <c r="M31" s="2071"/>
      <c r="N31" s="2071">
        <v>0</v>
      </c>
      <c r="O31" s="2071"/>
      <c r="P31" s="2071">
        <v>0</v>
      </c>
      <c r="Q31" s="2071">
        <v>0</v>
      </c>
      <c r="R31" s="2072">
        <f>ROUND(SUM(D31:Q31),0)</f>
        <v>0</v>
      </c>
      <c r="S31" s="2072"/>
      <c r="T31" s="2071">
        <v>0</v>
      </c>
      <c r="U31" s="2074"/>
      <c r="V31" s="2074">
        <f t="shared" si="2"/>
        <v>0</v>
      </c>
      <c r="W31" s="2068"/>
    </row>
    <row r="32" spans="1:23" ht="16.2">
      <c r="A32" s="1592"/>
      <c r="B32" s="2039" t="s">
        <v>809</v>
      </c>
      <c r="C32" s="2039"/>
      <c r="D32" s="2071">
        <v>0</v>
      </c>
      <c r="E32" s="2071">
        <v>0</v>
      </c>
      <c r="F32" s="2071">
        <v>0</v>
      </c>
      <c r="G32" s="2071">
        <v>0</v>
      </c>
      <c r="H32" s="2071">
        <v>0</v>
      </c>
      <c r="I32" s="2071">
        <v>0</v>
      </c>
      <c r="J32" s="2071">
        <v>0</v>
      </c>
      <c r="K32" s="2071">
        <v>0</v>
      </c>
      <c r="L32" s="2071">
        <v>0</v>
      </c>
      <c r="M32" s="2071"/>
      <c r="N32" s="2071">
        <v>4675750</v>
      </c>
      <c r="O32" s="2071"/>
      <c r="P32" s="2071">
        <v>0</v>
      </c>
      <c r="Q32" s="2071">
        <v>0</v>
      </c>
      <c r="R32" s="2072">
        <f>ROUND(SUM(D32:Q32),0)</f>
        <v>4675750</v>
      </c>
      <c r="S32" s="2072"/>
      <c r="T32" s="2071">
        <v>17821175</v>
      </c>
      <c r="U32" s="2074"/>
      <c r="V32" s="2074">
        <f t="shared" si="2"/>
        <v>-13145425</v>
      </c>
      <c r="W32" s="2068"/>
    </row>
    <row r="33" spans="1:25" ht="16.2">
      <c r="A33" s="1592"/>
      <c r="B33" s="2039" t="s">
        <v>445</v>
      </c>
      <c r="C33" s="2039"/>
      <c r="D33" s="2071"/>
      <c r="E33" s="2071"/>
      <c r="F33" s="2071"/>
      <c r="G33" s="2071"/>
      <c r="H33" s="2071"/>
      <c r="I33" s="2071"/>
      <c r="J33" s="2071"/>
      <c r="K33" s="2071"/>
      <c r="L33" s="2071"/>
      <c r="M33" s="2071"/>
      <c r="N33" s="2071"/>
      <c r="O33" s="2071"/>
      <c r="P33" s="2071"/>
      <c r="Q33" s="2071"/>
      <c r="R33" s="2072"/>
      <c r="S33" s="2072"/>
      <c r="T33" s="3443"/>
      <c r="U33" s="2074"/>
      <c r="V33" s="2072"/>
      <c r="W33" s="2068"/>
    </row>
    <row r="34" spans="1:25" ht="16.2">
      <c r="A34" s="1592"/>
      <c r="B34" s="2039" t="s">
        <v>446</v>
      </c>
      <c r="C34" s="2039"/>
      <c r="D34" s="2071">
        <v>0</v>
      </c>
      <c r="E34" s="2071"/>
      <c r="F34" s="2071">
        <v>0</v>
      </c>
      <c r="G34" s="2071">
        <v>0</v>
      </c>
      <c r="H34" s="2071">
        <v>0</v>
      </c>
      <c r="I34" s="2071">
        <v>0</v>
      </c>
      <c r="J34" s="2071">
        <v>0</v>
      </c>
      <c r="K34" s="2071">
        <v>0</v>
      </c>
      <c r="L34" s="2071">
        <v>0</v>
      </c>
      <c r="M34" s="2071"/>
      <c r="N34" s="2071">
        <v>0</v>
      </c>
      <c r="O34" s="2071"/>
      <c r="P34" s="2071">
        <v>0</v>
      </c>
      <c r="Q34" s="2071">
        <v>0</v>
      </c>
      <c r="R34" s="2072">
        <f t="shared" ref="R34:R39" si="3">ROUND(SUM(D34:Q34),0)</f>
        <v>0</v>
      </c>
      <c r="S34" s="2072"/>
      <c r="T34" s="2071">
        <v>0</v>
      </c>
      <c r="U34" s="2075"/>
      <c r="V34" s="2074">
        <f t="shared" si="2"/>
        <v>0</v>
      </c>
      <c r="W34" s="2068"/>
    </row>
    <row r="35" spans="1:25" ht="16.2">
      <c r="A35" s="1592"/>
      <c r="B35" s="2077" t="s">
        <v>447</v>
      </c>
      <c r="C35" s="2078"/>
      <c r="D35" s="2071">
        <v>0</v>
      </c>
      <c r="E35" s="2071">
        <v>0</v>
      </c>
      <c r="F35" s="2071">
        <v>0</v>
      </c>
      <c r="G35" s="2071">
        <v>0</v>
      </c>
      <c r="H35" s="2071">
        <v>0</v>
      </c>
      <c r="I35" s="2071">
        <v>0</v>
      </c>
      <c r="J35" s="2071">
        <v>0</v>
      </c>
      <c r="K35" s="2071">
        <v>0</v>
      </c>
      <c r="L35" s="2071">
        <v>0</v>
      </c>
      <c r="M35" s="2071"/>
      <c r="N35" s="2071">
        <v>0</v>
      </c>
      <c r="O35" s="2071"/>
      <c r="P35" s="2071">
        <v>0</v>
      </c>
      <c r="Q35" s="2071">
        <v>0</v>
      </c>
      <c r="R35" s="2072">
        <f t="shared" si="3"/>
        <v>0</v>
      </c>
      <c r="S35" s="2072"/>
      <c r="T35" s="2071">
        <v>0</v>
      </c>
      <c r="U35" s="2075"/>
      <c r="V35" s="2074">
        <f t="shared" si="2"/>
        <v>0</v>
      </c>
      <c r="W35" s="2068"/>
    </row>
    <row r="36" spans="1:25" ht="16.2">
      <c r="A36" s="1592"/>
      <c r="B36" s="2039" t="s">
        <v>1141</v>
      </c>
      <c r="C36" s="2039"/>
      <c r="D36" s="2071">
        <v>0</v>
      </c>
      <c r="E36" s="2071">
        <v>0</v>
      </c>
      <c r="F36" s="2071">
        <v>2180971</v>
      </c>
      <c r="G36" s="2071">
        <v>0</v>
      </c>
      <c r="H36" s="2071">
        <v>0</v>
      </c>
      <c r="I36" s="2071">
        <v>0</v>
      </c>
      <c r="J36" s="2071">
        <v>0</v>
      </c>
      <c r="K36" s="2071">
        <v>0</v>
      </c>
      <c r="L36" s="2071">
        <v>0</v>
      </c>
      <c r="M36" s="2071"/>
      <c r="N36" s="2071">
        <v>0</v>
      </c>
      <c r="O36" s="2071"/>
      <c r="P36" s="2071">
        <v>0</v>
      </c>
      <c r="Q36" s="2071">
        <v>0</v>
      </c>
      <c r="R36" s="2072">
        <f t="shared" si="3"/>
        <v>2180971</v>
      </c>
      <c r="S36" s="2072"/>
      <c r="T36" s="2071">
        <v>23405116</v>
      </c>
      <c r="U36" s="2075"/>
      <c r="V36" s="2074">
        <f t="shared" si="2"/>
        <v>-21224145</v>
      </c>
      <c r="W36" s="2068"/>
    </row>
    <row r="37" spans="1:25" ht="16.2">
      <c r="A37" s="1592"/>
      <c r="B37" s="2077" t="s">
        <v>448</v>
      </c>
      <c r="C37" s="2078"/>
      <c r="D37" s="2071">
        <v>0</v>
      </c>
      <c r="E37" s="2071">
        <v>0</v>
      </c>
      <c r="F37" s="2071">
        <v>0</v>
      </c>
      <c r="G37" s="2071">
        <v>0</v>
      </c>
      <c r="H37" s="2071">
        <v>0</v>
      </c>
      <c r="I37" s="2071">
        <v>0</v>
      </c>
      <c r="J37" s="2071">
        <v>0</v>
      </c>
      <c r="K37" s="2071">
        <v>0</v>
      </c>
      <c r="L37" s="2071">
        <v>0</v>
      </c>
      <c r="M37" s="2071"/>
      <c r="N37" s="2071">
        <v>0</v>
      </c>
      <c r="O37" s="2071"/>
      <c r="P37" s="2071">
        <v>0</v>
      </c>
      <c r="Q37" s="2071">
        <v>0</v>
      </c>
      <c r="R37" s="2072">
        <f t="shared" si="3"/>
        <v>0</v>
      </c>
      <c r="S37" s="2072"/>
      <c r="T37" s="2071">
        <v>0</v>
      </c>
      <c r="U37" s="2074"/>
      <c r="V37" s="2074">
        <f t="shared" si="2"/>
        <v>0</v>
      </c>
      <c r="W37" s="2068"/>
    </row>
    <row r="38" spans="1:25" ht="16.2">
      <c r="A38" s="1592"/>
      <c r="B38" s="2049" t="s">
        <v>449</v>
      </c>
      <c r="C38" s="2049"/>
      <c r="D38" s="2071">
        <v>0</v>
      </c>
      <c r="E38" s="2071">
        <v>0</v>
      </c>
      <c r="F38" s="2071">
        <v>0</v>
      </c>
      <c r="G38" s="2071">
        <v>0</v>
      </c>
      <c r="H38" s="2071">
        <v>0</v>
      </c>
      <c r="I38" s="2071">
        <v>0</v>
      </c>
      <c r="J38" s="2071">
        <v>0</v>
      </c>
      <c r="K38" s="2071">
        <v>0</v>
      </c>
      <c r="L38" s="2071">
        <v>0</v>
      </c>
      <c r="M38" s="2071"/>
      <c r="N38" s="2071">
        <v>0</v>
      </c>
      <c r="O38" s="2071"/>
      <c r="P38" s="2071">
        <v>0</v>
      </c>
      <c r="Q38" s="2071">
        <v>0</v>
      </c>
      <c r="R38" s="2072">
        <f t="shared" si="3"/>
        <v>0</v>
      </c>
      <c r="S38" s="2072"/>
      <c r="T38" s="2071">
        <v>0</v>
      </c>
      <c r="U38" s="2074"/>
      <c r="V38" s="2074">
        <f t="shared" si="2"/>
        <v>0</v>
      </c>
      <c r="W38" s="2068"/>
    </row>
    <row r="39" spans="1:25" ht="16.2">
      <c r="A39" s="1592"/>
      <c r="B39" s="2077" t="s">
        <v>1059</v>
      </c>
      <c r="C39" s="2078"/>
      <c r="D39" s="2071">
        <v>0</v>
      </c>
      <c r="E39" s="2071">
        <v>0</v>
      </c>
      <c r="F39" s="2071">
        <v>0</v>
      </c>
      <c r="G39" s="2071">
        <v>0</v>
      </c>
      <c r="H39" s="2071">
        <v>0</v>
      </c>
      <c r="I39" s="2071">
        <v>0</v>
      </c>
      <c r="J39" s="2071">
        <v>0</v>
      </c>
      <c r="K39" s="2071">
        <v>0</v>
      </c>
      <c r="L39" s="2071">
        <v>0</v>
      </c>
      <c r="M39" s="2071"/>
      <c r="N39" s="2071">
        <v>0</v>
      </c>
      <c r="O39" s="2071"/>
      <c r="P39" s="2071">
        <v>0</v>
      </c>
      <c r="Q39" s="2071">
        <v>0</v>
      </c>
      <c r="R39" s="2072">
        <f t="shared" si="3"/>
        <v>0</v>
      </c>
      <c r="S39" s="2072"/>
      <c r="T39" s="2071">
        <v>0</v>
      </c>
      <c r="U39" s="2074"/>
      <c r="V39" s="2074">
        <f>SUM(R39-T39,0)</f>
        <v>0</v>
      </c>
      <c r="W39" s="2068"/>
    </row>
    <row r="40" spans="1:25" ht="16.2">
      <c r="A40" s="1591"/>
      <c r="B40" s="2039" t="s">
        <v>912</v>
      </c>
      <c r="C40" s="2039"/>
      <c r="D40" s="2071">
        <v>0</v>
      </c>
      <c r="E40" s="2071">
        <v>0</v>
      </c>
      <c r="F40" s="2071">
        <v>0</v>
      </c>
      <c r="G40" s="2071">
        <v>0</v>
      </c>
      <c r="H40" s="2071">
        <v>0</v>
      </c>
      <c r="I40" s="2071">
        <v>0</v>
      </c>
      <c r="J40" s="2071">
        <v>0</v>
      </c>
      <c r="K40" s="2071">
        <v>0</v>
      </c>
      <c r="L40" s="2071">
        <v>0</v>
      </c>
      <c r="M40" s="2071"/>
      <c r="N40" s="2071">
        <v>361261266</v>
      </c>
      <c r="O40" s="2071"/>
      <c r="P40" s="2071">
        <v>0</v>
      </c>
      <c r="Q40" s="2071">
        <v>0</v>
      </c>
      <c r="R40" s="2072">
        <f>ROUND(SUM(D40:Q40),0)</f>
        <v>361261266</v>
      </c>
      <c r="S40" s="2072"/>
      <c r="T40" s="2071">
        <v>286525473</v>
      </c>
      <c r="U40" s="2079"/>
      <c r="V40" s="2074">
        <f t="shared" si="2"/>
        <v>74735793</v>
      </c>
      <c r="W40" s="2068"/>
      <c r="Y40" s="1593"/>
    </row>
    <row r="41" spans="1:25" ht="16.2">
      <c r="B41" s="2039" t="s">
        <v>450</v>
      </c>
      <c r="C41" s="2039"/>
      <c r="D41" s="2071">
        <v>0</v>
      </c>
      <c r="E41" s="2071">
        <v>0</v>
      </c>
      <c r="F41" s="2071">
        <v>0</v>
      </c>
      <c r="G41" s="2071">
        <v>0</v>
      </c>
      <c r="H41" s="2071">
        <v>0</v>
      </c>
      <c r="I41" s="2071">
        <v>0</v>
      </c>
      <c r="J41" s="2071">
        <v>0</v>
      </c>
      <c r="K41" s="2071">
        <v>0</v>
      </c>
      <c r="L41" s="2071">
        <v>0</v>
      </c>
      <c r="M41" s="2071"/>
      <c r="N41" s="2071">
        <v>0</v>
      </c>
      <c r="O41" s="2071"/>
      <c r="P41" s="2071">
        <v>0</v>
      </c>
      <c r="Q41" s="2071">
        <v>0</v>
      </c>
      <c r="R41" s="2072">
        <f>ROUND(SUM(D41:Q41),0)</f>
        <v>0</v>
      </c>
      <c r="S41" s="2072"/>
      <c r="T41" s="3443">
        <v>11603</v>
      </c>
      <c r="U41" s="2080"/>
      <c r="V41" s="2074">
        <f t="shared" si="2"/>
        <v>-11603</v>
      </c>
      <c r="W41" s="2068"/>
    </row>
    <row r="42" spans="1:25" ht="16.2">
      <c r="A42" s="1594"/>
      <c r="B42" s="2042" t="s">
        <v>451</v>
      </c>
      <c r="C42" s="2042"/>
      <c r="D42" s="2045"/>
      <c r="E42" s="2045"/>
      <c r="F42" s="2045"/>
      <c r="G42" s="2045"/>
      <c r="H42" s="2081"/>
      <c r="I42" s="2081"/>
      <c r="J42" s="2073"/>
      <c r="K42" s="2073"/>
      <c r="L42" s="2073"/>
      <c r="M42" s="2073"/>
      <c r="N42" s="2081"/>
      <c r="O42" s="2081"/>
      <c r="P42" s="2081"/>
      <c r="Q42" s="2081"/>
      <c r="R42" s="2081"/>
      <c r="S42" s="2081"/>
      <c r="T42" s="2081"/>
      <c r="U42" s="2082"/>
      <c r="V42" s="2072"/>
      <c r="W42" s="2068"/>
    </row>
    <row r="43" spans="1:25" s="1590" customFormat="1" ht="16.8" thickBot="1">
      <c r="B43" s="2083" t="s">
        <v>452</v>
      </c>
      <c r="C43" s="2047"/>
      <c r="D43" s="2084">
        <f>ROUND(SUM(D15:D41),0)</f>
        <v>0</v>
      </c>
      <c r="E43" s="2085"/>
      <c r="F43" s="2084">
        <f>ROUND(SUM(F15:F41),0)</f>
        <v>220312022</v>
      </c>
      <c r="G43" s="2085"/>
      <c r="H43" s="2084">
        <f>ROUND(SUM(H15:H41),0)</f>
        <v>24122878</v>
      </c>
      <c r="I43" s="2085"/>
      <c r="J43" s="2084">
        <f>ROUND(SUM(J15:J41),0)</f>
        <v>0</v>
      </c>
      <c r="K43" s="2086"/>
      <c r="L43" s="2084">
        <f>ROUND(SUM(L15:L41),0)</f>
        <v>10043312</v>
      </c>
      <c r="M43" s="2086"/>
      <c r="N43" s="2084">
        <f>ROUND(SUM(N15:N41),0)</f>
        <v>1092054528</v>
      </c>
      <c r="O43" s="2085"/>
      <c r="P43" s="2084">
        <f>ROUND(SUM(P15:P41),0)</f>
        <v>29531110</v>
      </c>
      <c r="Q43" s="2085"/>
      <c r="R43" s="2084">
        <f>ROUND(SUM(R15:R41),0)</f>
        <v>1376063850</v>
      </c>
      <c r="S43" s="2085"/>
      <c r="T43" s="2084">
        <f>ROUND(SUM(T15:T41),0)</f>
        <v>2501486879</v>
      </c>
      <c r="U43" s="2085"/>
      <c r="V43" s="2084">
        <f>ROUND(SUM(V15:V41),0)</f>
        <v>-1125423029</v>
      </c>
      <c r="W43" s="2068"/>
    </row>
    <row r="44" spans="1:25" ht="16.8" thickTop="1">
      <c r="C44" s="2087"/>
      <c r="D44" s="2039"/>
      <c r="E44" s="2039"/>
      <c r="F44" s="2039"/>
      <c r="G44" s="2039"/>
      <c r="H44" s="2039"/>
      <c r="I44" s="2039"/>
      <c r="J44" s="2039"/>
      <c r="K44" s="2039"/>
      <c r="L44" s="2039"/>
      <c r="M44" s="2039"/>
      <c r="N44" s="2039"/>
      <c r="O44" s="2039"/>
      <c r="P44" s="2039"/>
      <c r="Q44" s="2039"/>
      <c r="R44" s="2039"/>
      <c r="S44" s="2039"/>
      <c r="T44" s="2039"/>
      <c r="U44" s="2039"/>
      <c r="V44" s="2088"/>
      <c r="W44" s="2040"/>
    </row>
    <row r="45" spans="1:25" ht="16.2">
      <c r="B45" s="3847" t="s">
        <v>1502</v>
      </c>
      <c r="C45" s="2039"/>
      <c r="D45" s="2039"/>
      <c r="E45" s="2039"/>
      <c r="F45" s="2039"/>
      <c r="G45" s="2039"/>
      <c r="H45" s="2039"/>
      <c r="I45" s="2039"/>
      <c r="J45" s="2039"/>
      <c r="K45" s="2039"/>
      <c r="L45" s="2039"/>
      <c r="M45" s="2039"/>
      <c r="N45" s="2039"/>
      <c r="O45" s="2039"/>
      <c r="P45" s="2039"/>
      <c r="Q45" s="2039"/>
      <c r="R45" s="3355"/>
      <c r="S45" s="2039"/>
      <c r="T45" s="2039"/>
      <c r="U45" s="2039"/>
      <c r="V45" s="2039"/>
    </row>
    <row r="46" spans="1:25" ht="15">
      <c r="B46" s="3848" t="s">
        <v>1503</v>
      </c>
      <c r="R46" s="3356" t="s">
        <v>14</v>
      </c>
    </row>
    <row r="47" spans="1:25" ht="15">
      <c r="B47" s="1595"/>
      <c r="R47" s="3707" t="s">
        <v>14</v>
      </c>
    </row>
    <row r="48" spans="1:25" ht="15">
      <c r="B48" s="1595"/>
      <c r="R48" s="3356" t="s">
        <v>14</v>
      </c>
    </row>
    <row r="52" spans="2:2">
      <c r="B52" s="1589" t="s">
        <v>14</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1640625" defaultRowHeight="15"/>
  <cols>
    <col min="1" max="1" width="2.08984375" style="1326" customWidth="1"/>
    <col min="2" max="4" width="9.81640625" style="1326" customWidth="1"/>
    <col min="5" max="5" width="10.453125" style="1326" customWidth="1"/>
    <col min="6" max="6" width="14.81640625" style="1326" customWidth="1"/>
    <col min="7" max="7" width="1.08984375" style="1326" customWidth="1"/>
    <col min="8" max="8" width="16.81640625" style="1326" customWidth="1"/>
    <col min="9" max="9" width="1.08984375" style="1326" customWidth="1"/>
    <col min="10" max="10" width="16.81640625" style="1326" bestFit="1" customWidth="1"/>
    <col min="11" max="11" width="9.81640625" style="1326" customWidth="1"/>
    <col min="12" max="12" width="15.81640625" style="1326" customWidth="1"/>
    <col min="13" max="16384" width="8.81640625" style="1326"/>
  </cols>
  <sheetData>
    <row r="1" spans="2:12">
      <c r="B1" s="3485" t="s">
        <v>881</v>
      </c>
    </row>
    <row r="2" spans="2:12">
      <c r="B2" s="815"/>
    </row>
    <row r="3" spans="2:12" ht="15.6">
      <c r="B3" s="708" t="s">
        <v>0</v>
      </c>
      <c r="J3" s="1189" t="s">
        <v>1058</v>
      </c>
    </row>
    <row r="4" spans="2:12" ht="15.6">
      <c r="B4" s="816" t="s">
        <v>1057</v>
      </c>
    </row>
    <row r="5" spans="2:12" ht="15.6">
      <c r="B5" s="1923" t="str">
        <f>'Sch 1 '!A8</f>
        <v>FOR THE MONTH OF JANUARY 2022</v>
      </c>
      <c r="C5" s="1924"/>
      <c r="D5" s="1924"/>
      <c r="E5" s="1924"/>
      <c r="F5" s="1924"/>
      <c r="G5" s="1924"/>
      <c r="H5" s="1924"/>
      <c r="I5" s="1924"/>
      <c r="J5" s="1924"/>
      <c r="K5" s="1924"/>
      <c r="L5" s="1924"/>
    </row>
    <row r="6" spans="2:12" ht="15.6">
      <c r="B6" s="1923" t="s">
        <v>791</v>
      </c>
      <c r="C6" s="1924"/>
      <c r="D6" s="1924"/>
      <c r="E6" s="1924"/>
      <c r="F6" s="1924"/>
      <c r="G6" s="1924"/>
      <c r="H6" s="1924"/>
      <c r="I6" s="1924"/>
      <c r="J6" s="1924"/>
      <c r="K6" s="1924"/>
      <c r="L6" s="1924"/>
    </row>
    <row r="7" spans="2:12" ht="12.6" customHeight="1">
      <c r="B7" s="1923" t="s">
        <v>1263</v>
      </c>
      <c r="C7" s="1925"/>
      <c r="D7" s="1925"/>
      <c r="E7" s="1925"/>
      <c r="F7" s="1925"/>
      <c r="G7" s="1925"/>
      <c r="H7" s="1925"/>
      <c r="I7" s="1925"/>
      <c r="J7" s="1925"/>
      <c r="K7" s="1925"/>
      <c r="L7" s="1925"/>
    </row>
    <row r="8" spans="2:12">
      <c r="B8" s="396"/>
      <c r="G8" s="396"/>
      <c r="I8" s="396"/>
    </row>
    <row r="9" spans="2:12" ht="15.6">
      <c r="B9" s="396"/>
      <c r="F9" s="397" t="s">
        <v>6</v>
      </c>
      <c r="G9" s="396"/>
      <c r="H9" s="398" t="s">
        <v>454</v>
      </c>
      <c r="I9" s="396"/>
      <c r="J9" s="397" t="s">
        <v>453</v>
      </c>
    </row>
    <row r="10" spans="2:12" ht="15.6">
      <c r="B10" s="396"/>
      <c r="F10" s="399" t="s">
        <v>1578</v>
      </c>
      <c r="G10" s="396"/>
      <c r="H10" s="398" t="s">
        <v>456</v>
      </c>
      <c r="I10" s="396"/>
      <c r="J10" s="398" t="s">
        <v>455</v>
      </c>
    </row>
    <row r="11" spans="2:12" ht="15.6">
      <c r="B11" s="396"/>
      <c r="F11" s="1875"/>
      <c r="G11" s="396"/>
      <c r="H11" s="1875"/>
      <c r="I11" s="396"/>
      <c r="J11" s="1875"/>
    </row>
    <row r="12" spans="2:12" ht="15.6">
      <c r="B12" s="400" t="s">
        <v>874</v>
      </c>
      <c r="G12" s="396"/>
      <c r="I12" s="396"/>
      <c r="J12" s="707"/>
      <c r="K12" s="707"/>
    </row>
    <row r="13" spans="2:12">
      <c r="B13" s="396"/>
      <c r="G13" s="396"/>
      <c r="I13" s="396"/>
      <c r="J13" s="707"/>
      <c r="K13" s="707"/>
    </row>
    <row r="14" spans="2:12">
      <c r="B14" s="654" t="s">
        <v>873</v>
      </c>
      <c r="F14" s="3037">
        <v>66094.5</v>
      </c>
      <c r="G14" s="3037"/>
      <c r="H14" s="3358">
        <v>47087.4</v>
      </c>
      <c r="I14" s="1327"/>
      <c r="J14" s="3931">
        <v>29554.3</v>
      </c>
      <c r="K14" s="707"/>
    </row>
    <row r="15" spans="2:12">
      <c r="B15" s="654" t="s">
        <v>872</v>
      </c>
      <c r="F15" s="3038">
        <v>9.7999999999999997E-4</v>
      </c>
      <c r="G15" s="705"/>
      <c r="H15" s="3359">
        <v>6.4000000000000005E-4</v>
      </c>
      <c r="I15" s="796"/>
      <c r="J15" s="3932">
        <v>2.0100000000000001E-3</v>
      </c>
      <c r="K15" s="707"/>
    </row>
    <row r="16" spans="2:12">
      <c r="B16" s="796" t="s">
        <v>457</v>
      </c>
      <c r="F16" s="3039">
        <v>5.3860000000000001</v>
      </c>
      <c r="G16" s="3360"/>
      <c r="H16" s="3361">
        <v>24.831</v>
      </c>
      <c r="I16" s="890"/>
      <c r="J16" s="3933">
        <v>51.808</v>
      </c>
      <c r="K16" s="707"/>
    </row>
    <row r="17" spans="2:11">
      <c r="B17" s="396"/>
      <c r="J17" s="707"/>
      <c r="K17" s="402"/>
    </row>
    <row r="18" spans="2:11">
      <c r="B18" s="866"/>
      <c r="C18" s="1328"/>
      <c r="D18" s="1328"/>
      <c r="E18" s="1328"/>
      <c r="F18" s="1328"/>
      <c r="G18" s="1328"/>
      <c r="H18" s="1328"/>
      <c r="I18" s="1328"/>
      <c r="J18" s="3055"/>
      <c r="K18" s="866"/>
    </row>
    <row r="19" spans="2:11" ht="15" customHeight="1">
      <c r="B19" s="866"/>
      <c r="C19" s="1328"/>
      <c r="D19" s="1328"/>
      <c r="E19" s="1328"/>
      <c r="F19" s="1328"/>
      <c r="G19" s="1328"/>
      <c r="H19" s="1328"/>
      <c r="I19" s="1328"/>
      <c r="J19" s="3055"/>
      <c r="K19" s="866"/>
    </row>
    <row r="20" spans="2:11" ht="17.399999999999999">
      <c r="B20" s="867" t="s">
        <v>458</v>
      </c>
      <c r="C20" s="868"/>
      <c r="D20" s="868"/>
      <c r="E20" s="1328"/>
      <c r="F20" s="1328"/>
      <c r="G20" s="1328"/>
      <c r="H20" s="1328"/>
      <c r="I20" s="1328"/>
      <c r="J20" s="3055"/>
      <c r="K20" s="866"/>
    </row>
    <row r="21" spans="2:11">
      <c r="B21" s="866"/>
      <c r="C21" s="1328"/>
      <c r="D21" s="1328"/>
      <c r="E21" s="1328"/>
      <c r="F21" s="1328"/>
      <c r="G21" s="614"/>
      <c r="H21" s="614" t="str">
        <f>F10</f>
        <v>JANUARY 2022</v>
      </c>
      <c r="I21" s="2118"/>
      <c r="J21" s="3446" t="s">
        <v>1579</v>
      </c>
      <c r="K21" s="866"/>
    </row>
    <row r="22" spans="2:11">
      <c r="B22" s="866"/>
      <c r="C22" s="869" t="s">
        <v>459</v>
      </c>
      <c r="D22" s="1328"/>
      <c r="E22" s="1329" t="s">
        <v>14</v>
      </c>
      <c r="F22" s="1328"/>
      <c r="G22" s="870"/>
      <c r="H22" s="1928" t="s">
        <v>460</v>
      </c>
      <c r="I22" s="870"/>
      <c r="J22" s="3447" t="s">
        <v>460</v>
      </c>
      <c r="K22" s="866"/>
    </row>
    <row r="23" spans="2:11">
      <c r="B23" s="866"/>
      <c r="C23" s="1329" t="s">
        <v>461</v>
      </c>
      <c r="D23" s="1328"/>
      <c r="E23" s="1328"/>
      <c r="F23" s="1328"/>
      <c r="G23" s="1330"/>
      <c r="H23" s="1331">
        <v>44518.5</v>
      </c>
      <c r="I23" s="1330"/>
      <c r="J23" s="3912">
        <v>18898.5</v>
      </c>
      <c r="K23" s="866"/>
    </row>
    <row r="24" spans="2:11">
      <c r="B24" s="866"/>
      <c r="C24" s="1329" t="s">
        <v>462</v>
      </c>
      <c r="D24" s="1328"/>
      <c r="E24" s="1328"/>
      <c r="F24" s="1328"/>
      <c r="G24" s="1330"/>
      <c r="H24" s="1332">
        <v>150.1</v>
      </c>
      <c r="I24" s="1330"/>
      <c r="J24" s="3913">
        <v>119.3</v>
      </c>
      <c r="K24" s="866"/>
    </row>
    <row r="25" spans="2:11">
      <c r="B25" s="866"/>
      <c r="C25" s="1329" t="s">
        <v>1369</v>
      </c>
      <c r="D25" s="1328"/>
      <c r="E25" s="1328"/>
      <c r="F25" s="1328"/>
      <c r="G25" s="1330"/>
      <c r="H25" s="1332">
        <v>600</v>
      </c>
      <c r="I25" s="1330"/>
      <c r="J25" s="3913">
        <v>700</v>
      </c>
      <c r="K25" s="866"/>
    </row>
    <row r="26" spans="2:11">
      <c r="B26" s="866"/>
      <c r="C26" s="1329" t="s">
        <v>463</v>
      </c>
      <c r="D26" s="1328"/>
      <c r="E26" s="1328"/>
      <c r="F26" s="1328"/>
      <c r="G26" s="1333"/>
      <c r="H26" s="1332">
        <v>21790.6</v>
      </c>
      <c r="I26" s="1333"/>
      <c r="J26" s="3913">
        <v>19113.599999999999</v>
      </c>
      <c r="K26" s="866" t="s">
        <v>14</v>
      </c>
    </row>
    <row r="27" spans="2:11">
      <c r="B27" s="866"/>
      <c r="C27" s="1329" t="s">
        <v>464</v>
      </c>
      <c r="D27" s="1328"/>
      <c r="E27" s="1328"/>
      <c r="F27" s="1328"/>
      <c r="G27" s="1333"/>
      <c r="H27" s="1332">
        <v>2842.8</v>
      </c>
      <c r="I27" s="1333"/>
      <c r="J27" s="3913">
        <v>1991.1</v>
      </c>
      <c r="K27" s="866" t="s">
        <v>14</v>
      </c>
    </row>
    <row r="28" spans="2:11">
      <c r="B28" s="866"/>
      <c r="C28" s="871" t="s">
        <v>754</v>
      </c>
      <c r="D28" s="1328"/>
      <c r="E28" s="1328"/>
      <c r="F28" s="1328"/>
      <c r="G28" s="1334"/>
      <c r="H28" s="1332">
        <v>843</v>
      </c>
      <c r="I28" s="1334"/>
      <c r="J28" s="3913">
        <v>723</v>
      </c>
      <c r="K28" s="866"/>
    </row>
    <row r="29" spans="2:11" ht="16.2" thickBot="1">
      <c r="B29" s="866"/>
      <c r="C29" s="1328"/>
      <c r="D29" s="1328"/>
      <c r="E29" s="1328"/>
      <c r="F29" s="1328"/>
      <c r="G29" s="401"/>
      <c r="H29" s="1876">
        <f>ROUND(SUM(H23:H28),1)</f>
        <v>70745</v>
      </c>
      <c r="I29" s="401"/>
      <c r="J29" s="3934">
        <f>ROUND(SUM(J23:J28),1)</f>
        <v>41545.5</v>
      </c>
      <c r="K29" s="866"/>
    </row>
    <row r="30" spans="2:11" ht="15.6" thickTop="1">
      <c r="B30" s="396"/>
      <c r="G30" s="1335"/>
      <c r="H30" s="1335"/>
      <c r="I30" s="1335"/>
      <c r="J30" s="707"/>
      <c r="K30" s="396"/>
    </row>
    <row r="31" spans="2:11">
      <c r="B31" s="396"/>
      <c r="K31" s="396"/>
    </row>
    <row r="32" spans="2:11" ht="15.6">
      <c r="B32" s="400"/>
      <c r="K32" s="396"/>
    </row>
    <row r="33" spans="2:12" ht="192.75" customHeight="1">
      <c r="B33" s="4000" t="s">
        <v>1354</v>
      </c>
      <c r="C33" s="4000"/>
      <c r="D33" s="4000"/>
      <c r="E33" s="4000"/>
      <c r="F33" s="4000"/>
      <c r="G33" s="4000"/>
      <c r="H33" s="4000"/>
      <c r="I33" s="4000"/>
      <c r="J33" s="4000"/>
      <c r="K33" s="396"/>
    </row>
    <row r="35" spans="2:12" ht="15" customHeight="1">
      <c r="B35" s="641" t="s">
        <v>875</v>
      </c>
      <c r="C35" s="706"/>
      <c r="D35" s="706"/>
      <c r="E35" s="706"/>
      <c r="F35" s="706"/>
      <c r="G35" s="706"/>
      <c r="H35" s="706"/>
      <c r="I35" s="706"/>
      <c r="J35" s="706"/>
      <c r="K35" s="706"/>
      <c r="L35" s="706"/>
    </row>
    <row r="36" spans="2:12" ht="17.25" customHeight="1">
      <c r="B36" s="704"/>
      <c r="C36" s="707"/>
      <c r="D36" s="707"/>
      <c r="E36" s="707"/>
      <c r="F36" s="707"/>
      <c r="G36" s="707"/>
      <c r="H36" s="707"/>
      <c r="I36" s="707"/>
      <c r="J36" s="707"/>
      <c r="K36" s="707"/>
      <c r="L36" s="402"/>
    </row>
    <row r="37" spans="2:12">
      <c r="B37" s="796"/>
      <c r="C37" s="796"/>
      <c r="D37" s="707"/>
      <c r="E37" s="707"/>
      <c r="F37" s="707"/>
      <c r="G37" s="707"/>
      <c r="H37" s="707"/>
      <c r="I37" s="707"/>
      <c r="J37" s="707"/>
      <c r="K37" s="707"/>
      <c r="L37" s="402"/>
    </row>
    <row r="38" spans="2:12">
      <c r="B38" s="704"/>
      <c r="C38" s="705"/>
      <c r="D38" s="707"/>
      <c r="E38" s="707"/>
      <c r="F38" s="707"/>
      <c r="G38" s="707"/>
      <c r="H38" s="707"/>
      <c r="I38" s="707"/>
      <c r="J38" s="707"/>
      <c r="K38" s="707"/>
      <c r="L38" s="402"/>
    </row>
    <row r="39" spans="2:12">
      <c r="B39" s="396"/>
      <c r="C39" s="796" t="s">
        <v>14</v>
      </c>
      <c r="D39" s="396"/>
      <c r="E39" s="396"/>
      <c r="F39" s="396"/>
      <c r="G39" s="396"/>
      <c r="H39" s="396"/>
      <c r="I39" s="396"/>
      <c r="J39" s="396"/>
    </row>
    <row r="40" spans="2:12">
      <c r="C40" s="796" t="s">
        <v>14</v>
      </c>
    </row>
  </sheetData>
  <mergeCells count="1">
    <mergeCell ref="B33:J33"/>
  </mergeCells>
  <printOptions horizontalCentered="1"/>
  <pageMargins left="0.5" right="0.5" top="1" bottom="0.5" header="0.5" footer="0.25"/>
  <pageSetup scale="70"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50" workbookViewId="0"/>
  </sheetViews>
  <sheetFormatPr defaultColWidth="8.81640625" defaultRowHeight="15"/>
  <cols>
    <col min="1" max="1" width="45.453125" style="1714" customWidth="1"/>
    <col min="2" max="2" width="17" style="1543" customWidth="1"/>
    <col min="3" max="3" width="1.81640625" style="1543" customWidth="1"/>
    <col min="4" max="4" width="17" style="1543" customWidth="1"/>
    <col min="5" max="5" width="1.81640625" style="1542" customWidth="1"/>
    <col min="6" max="6" width="17" style="1543" customWidth="1"/>
    <col min="7" max="7" width="1.81640625" style="1542" customWidth="1"/>
    <col min="8" max="8" width="17" style="1543" customWidth="1"/>
    <col min="9" max="9" width="1.81640625" style="1765" customWidth="1"/>
    <col min="10" max="10" width="17" style="1719" customWidth="1"/>
    <col min="11" max="11" width="1.81640625" style="1719" customWidth="1"/>
    <col min="12" max="12" width="17" style="1719" customWidth="1"/>
    <col min="13" max="13" width="1.81640625" style="1765" customWidth="1"/>
    <col min="14" max="14" width="17" style="1719" customWidth="1"/>
    <col min="15" max="15" width="1.81640625" style="1765" customWidth="1"/>
    <col min="16" max="16" width="17" style="1719" customWidth="1"/>
    <col min="17" max="17" width="1.81640625" style="1765" customWidth="1"/>
    <col min="18" max="18" width="17" style="1719" customWidth="1"/>
    <col min="19" max="19" width="1.81640625" style="1765" customWidth="1"/>
    <col min="20" max="20" width="17" style="1719" customWidth="1"/>
    <col min="21" max="21" width="1.81640625" style="1765" customWidth="1"/>
    <col min="22" max="22" width="17" style="1719" customWidth="1"/>
    <col min="23" max="23" width="1.81640625" style="1765" customWidth="1"/>
    <col min="24" max="24" width="17" style="1719" customWidth="1"/>
    <col min="25" max="25" width="1.81640625" style="1765" customWidth="1"/>
    <col min="26" max="26" width="22.54296875" style="1766" customWidth="1"/>
    <col min="27" max="27" width="1.54296875" style="1732" customWidth="1"/>
    <col min="28" max="28" width="18.81640625" style="1714" bestFit="1" customWidth="1"/>
    <col min="29" max="29" width="12.81640625" style="1714" bestFit="1" customWidth="1"/>
    <col min="30" max="16384" width="8.81640625" style="1714"/>
  </cols>
  <sheetData>
    <row r="1" spans="1:40">
      <c r="A1" s="1484" t="s">
        <v>881</v>
      </c>
      <c r="B1" s="1296"/>
      <c r="C1" s="1296"/>
      <c r="D1" s="1296"/>
      <c r="E1" s="1296"/>
      <c r="F1" s="1296"/>
      <c r="G1" s="1296"/>
      <c r="H1" s="1296"/>
      <c r="I1" s="1713"/>
      <c r="J1" s="1713"/>
      <c r="K1" s="1713"/>
      <c r="L1" s="1713"/>
      <c r="M1" s="1713"/>
      <c r="N1" s="1713"/>
      <c r="O1" s="1713"/>
      <c r="P1" s="1713"/>
      <c r="Q1" s="1713"/>
      <c r="R1" s="1713"/>
      <c r="S1" s="1713"/>
      <c r="T1" s="1713"/>
      <c r="U1" s="1713"/>
      <c r="V1" s="1713"/>
      <c r="W1" s="1713"/>
      <c r="X1" s="1713"/>
      <c r="Y1" s="1713"/>
      <c r="Z1" s="1713"/>
      <c r="AA1" s="3382"/>
      <c r="AB1" s="1713"/>
      <c r="AC1" s="1713"/>
      <c r="AD1" s="1713"/>
      <c r="AE1" s="1713"/>
      <c r="AF1" s="1713"/>
      <c r="AG1" s="1713"/>
    </row>
    <row r="2" spans="1:40">
      <c r="A2" s="1484"/>
      <c r="B2" s="1296"/>
      <c r="C2" s="1296"/>
      <c r="D2" s="1296"/>
      <c r="E2" s="1296"/>
      <c r="F2" s="1296"/>
      <c r="G2" s="1296"/>
      <c r="H2" s="1296"/>
      <c r="I2" s="1713"/>
      <c r="J2" s="1713"/>
      <c r="K2" s="1713"/>
      <c r="L2" s="1713"/>
      <c r="M2" s="1713"/>
      <c r="N2" s="1713"/>
      <c r="O2" s="1713"/>
      <c r="P2" s="1713"/>
      <c r="Q2" s="1713"/>
      <c r="R2" s="1713"/>
      <c r="S2" s="1713"/>
      <c r="T2" s="1713"/>
      <c r="U2" s="1713"/>
      <c r="V2" s="1713"/>
      <c r="W2" s="1713"/>
      <c r="X2" s="1713"/>
      <c r="Y2" s="1713"/>
      <c r="Z2" s="1713"/>
      <c r="AA2" s="3382"/>
      <c r="AB2" s="1713"/>
      <c r="AC2" s="1713"/>
      <c r="AD2" s="1713"/>
      <c r="AE2" s="1713"/>
      <c r="AF2" s="1713"/>
      <c r="AG2" s="1713"/>
    </row>
    <row r="3" spans="1:40" ht="17.850000000000001" customHeight="1">
      <c r="A3" s="1715" t="s">
        <v>0</v>
      </c>
      <c r="B3" s="476"/>
      <c r="C3" s="476"/>
      <c r="D3" s="477"/>
      <c r="E3" s="478"/>
      <c r="F3" s="477"/>
      <c r="G3" s="478"/>
      <c r="H3" s="477"/>
      <c r="I3" s="1718"/>
      <c r="K3" s="1716"/>
      <c r="L3" s="1720"/>
      <c r="M3" s="1716"/>
      <c r="N3" s="1717"/>
      <c r="O3" s="1718"/>
      <c r="P3" s="1717"/>
      <c r="Q3" s="1718"/>
      <c r="R3" s="1717"/>
      <c r="S3" s="1718"/>
      <c r="T3" s="1717"/>
      <c r="U3" s="1718"/>
      <c r="V3" s="1717"/>
      <c r="W3" s="1718"/>
      <c r="X3" s="1717"/>
      <c r="Y3" s="1718"/>
      <c r="Z3" s="1721" t="s">
        <v>465</v>
      </c>
      <c r="AA3" s="3383"/>
      <c r="AC3" s="1716"/>
      <c r="AE3" s="1716"/>
    </row>
    <row r="4" spans="1:40" ht="17.850000000000001" customHeight="1">
      <c r="A4" s="1715" t="s">
        <v>466</v>
      </c>
      <c r="B4" s="1297"/>
      <c r="C4" s="1297"/>
      <c r="D4" s="480"/>
      <c r="E4" s="478"/>
      <c r="F4" s="1297"/>
      <c r="G4" s="478"/>
      <c r="H4" s="1297"/>
      <c r="I4" s="1718"/>
      <c r="J4" s="1722"/>
      <c r="K4" s="1722"/>
      <c r="L4" s="1722"/>
      <c r="M4" s="1723"/>
      <c r="N4" s="1722"/>
      <c r="O4" s="1718"/>
      <c r="P4" s="1722"/>
      <c r="Q4" s="1718"/>
      <c r="R4" s="1722"/>
      <c r="S4" s="1718"/>
      <c r="T4" s="1722"/>
      <c r="U4" s="1718"/>
      <c r="V4" s="1722"/>
      <c r="W4" s="1718"/>
      <c r="X4" s="1722"/>
      <c r="Y4" s="1718"/>
      <c r="Z4" s="1724"/>
      <c r="AA4" s="3383"/>
      <c r="AC4" s="1716"/>
    </row>
    <row r="5" spans="1:40" ht="17.850000000000001" customHeight="1">
      <c r="A5" s="1725" t="s">
        <v>1075</v>
      </c>
      <c r="B5" s="1297"/>
      <c r="C5" s="1297"/>
      <c r="D5" s="1297"/>
      <c r="E5" s="478"/>
      <c r="F5" s="1297"/>
      <c r="G5" s="478"/>
      <c r="H5" s="1297"/>
      <c r="I5" s="1718"/>
      <c r="J5" s="1722"/>
      <c r="K5" s="1722"/>
      <c r="L5" s="1722"/>
      <c r="M5" s="1723"/>
      <c r="N5" s="1722"/>
      <c r="O5" s="1718"/>
      <c r="P5" s="1722"/>
      <c r="Q5" s="1718"/>
      <c r="R5" s="1722"/>
      <c r="S5" s="1718"/>
      <c r="T5" s="1722"/>
      <c r="U5" s="1718"/>
      <c r="V5" s="1722"/>
      <c r="W5" s="1718"/>
      <c r="X5" s="1722"/>
      <c r="Y5" s="1718"/>
      <c r="Z5" s="1724"/>
    </row>
    <row r="6" spans="1:40" ht="17.850000000000001" customHeight="1">
      <c r="A6" s="1726" t="str">
        <f>'Cashflow Governmental'!A6</f>
        <v xml:space="preserve">FISCAL YEAR 2021-2022   </v>
      </c>
      <c r="B6" s="1297"/>
      <c r="C6" s="1297"/>
      <c r="D6" s="485"/>
      <c r="E6" s="478"/>
      <c r="F6" s="1297"/>
      <c r="G6" s="478"/>
      <c r="H6" s="1297"/>
      <c r="I6" s="1718"/>
      <c r="J6" s="1722"/>
      <c r="K6" s="1722"/>
      <c r="L6" s="1722"/>
      <c r="M6" s="1723"/>
      <c r="N6" s="1722"/>
      <c r="O6" s="1718"/>
      <c r="P6" s="1722"/>
      <c r="Q6" s="1718"/>
      <c r="R6" s="1722"/>
      <c r="S6" s="1718"/>
      <c r="T6" s="1722"/>
      <c r="U6" s="1718"/>
      <c r="V6" s="1722"/>
      <c r="W6" s="1718"/>
      <c r="X6" s="1722"/>
      <c r="Y6" s="1718"/>
      <c r="Z6" s="1724"/>
    </row>
    <row r="7" spans="1:40" ht="17.399999999999999">
      <c r="A7" s="1727"/>
      <c r="B7" s="1297"/>
      <c r="C7" s="1297"/>
      <c r="D7" s="1297"/>
      <c r="E7" s="478"/>
      <c r="F7" s="1297"/>
      <c r="G7" s="478"/>
      <c r="H7" s="1297"/>
      <c r="I7" s="1718"/>
      <c r="J7" s="1722"/>
      <c r="K7" s="1722"/>
      <c r="L7" s="1722"/>
      <c r="M7" s="1723"/>
      <c r="N7" s="1722"/>
      <c r="O7" s="1718"/>
      <c r="P7" s="1722"/>
      <c r="Q7" s="1718"/>
      <c r="R7" s="1728"/>
      <c r="S7" s="1718"/>
      <c r="T7" s="1728"/>
      <c r="U7" s="1718"/>
      <c r="V7" s="1728"/>
      <c r="W7" s="1718"/>
      <c r="X7" s="1728"/>
      <c r="Y7" s="1718"/>
      <c r="Z7" s="1724"/>
    </row>
    <row r="8" spans="1:40" ht="15.6">
      <c r="A8" s="1729"/>
      <c r="B8" s="1297"/>
      <c r="C8" s="1297"/>
      <c r="D8" s="1297"/>
      <c r="E8" s="478"/>
      <c r="F8" s="1297"/>
      <c r="G8" s="478"/>
      <c r="H8" s="1297"/>
      <c r="I8" s="1718"/>
      <c r="J8" s="1722"/>
      <c r="K8" s="1722"/>
      <c r="L8" s="1722"/>
      <c r="M8" s="1718"/>
      <c r="N8" s="1722"/>
      <c r="O8" s="1718"/>
      <c r="P8" s="1722"/>
      <c r="Q8" s="1718"/>
      <c r="R8" s="1722"/>
      <c r="S8" s="1718"/>
      <c r="T8" s="1722"/>
      <c r="U8" s="1718"/>
      <c r="V8" s="1722"/>
      <c r="W8" s="1718"/>
      <c r="X8" s="1722"/>
      <c r="Y8" s="1718"/>
      <c r="Z8" s="1730"/>
      <c r="AA8" s="1731"/>
    </row>
    <row r="9" spans="1:40" ht="15.6">
      <c r="A9" s="1732"/>
      <c r="B9" s="897" t="str">
        <f>'Cashflow Governmental'!C13</f>
        <v>2021</v>
      </c>
      <c r="C9" s="488"/>
      <c r="D9" s="488"/>
      <c r="E9" s="481"/>
      <c r="F9" s="488"/>
      <c r="G9" s="481"/>
      <c r="H9" s="488"/>
      <c r="I9" s="1723"/>
      <c r="J9" s="1734"/>
      <c r="K9" s="1734"/>
      <c r="L9" s="1735"/>
      <c r="M9" s="1723"/>
      <c r="N9" s="1735"/>
      <c r="O9" s="1723"/>
      <c r="P9" s="1735"/>
      <c r="Q9" s="1723"/>
      <c r="R9" s="1735"/>
      <c r="S9" s="1723"/>
      <c r="T9" s="1733">
        <f>'Cashflow Governmental'!U13</f>
        <v>2022</v>
      </c>
      <c r="U9" s="1723"/>
      <c r="V9" s="1735"/>
      <c r="W9" s="1723"/>
      <c r="X9" s="1735"/>
      <c r="Y9" s="1723"/>
      <c r="Z9" s="1736" t="s">
        <v>1580</v>
      </c>
      <c r="AA9" s="1736"/>
    </row>
    <row r="10" spans="1:40" ht="15.6">
      <c r="A10" s="1732"/>
      <c r="B10" s="491" t="s">
        <v>123</v>
      </c>
      <c r="C10" s="492"/>
      <c r="D10" s="489" t="s">
        <v>124</v>
      </c>
      <c r="E10" s="481"/>
      <c r="F10" s="489" t="s">
        <v>125</v>
      </c>
      <c r="G10" s="481"/>
      <c r="H10" s="489" t="s">
        <v>126</v>
      </c>
      <c r="I10" s="1723"/>
      <c r="J10" s="1914" t="s">
        <v>127</v>
      </c>
      <c r="K10" s="493"/>
      <c r="L10" s="1735" t="s">
        <v>142</v>
      </c>
      <c r="M10" s="1723"/>
      <c r="N10" s="1735" t="s">
        <v>143</v>
      </c>
      <c r="O10" s="1723"/>
      <c r="P10" s="1735" t="s">
        <v>130</v>
      </c>
      <c r="Q10" s="1723"/>
      <c r="R10" s="1735" t="s">
        <v>131</v>
      </c>
      <c r="S10" s="1723"/>
      <c r="T10" s="1735" t="s">
        <v>132</v>
      </c>
      <c r="U10" s="1723"/>
      <c r="V10" s="1735" t="s">
        <v>133</v>
      </c>
      <c r="W10" s="1723"/>
      <c r="X10" s="1735" t="s">
        <v>184</v>
      </c>
      <c r="Y10" s="1723"/>
      <c r="Z10" s="1737">
        <v>44592</v>
      </c>
      <c r="AA10" s="1737"/>
    </row>
    <row r="11" spans="1:40" ht="15.6">
      <c r="A11" s="1732"/>
      <c r="B11" s="1842" t="s">
        <v>14</v>
      </c>
      <c r="C11" s="1301"/>
      <c r="D11" s="1842"/>
      <c r="E11" s="1302"/>
      <c r="F11" s="1842"/>
      <c r="G11" s="1302"/>
      <c r="H11" s="1842"/>
      <c r="I11" s="1740"/>
      <c r="J11" s="1738"/>
      <c r="K11" s="493"/>
      <c r="L11" s="1738"/>
      <c r="M11" s="1740"/>
      <c r="N11" s="1738"/>
      <c r="O11" s="1740"/>
      <c r="P11" s="1738"/>
      <c r="Q11" s="1740"/>
      <c r="R11" s="1738"/>
      <c r="S11" s="1740"/>
      <c r="T11" s="1738"/>
      <c r="U11" s="1740"/>
      <c r="V11" s="1738"/>
      <c r="W11" s="1740"/>
      <c r="X11" s="1738"/>
      <c r="Y11" s="1740"/>
      <c r="Z11" s="1741" t="s">
        <v>14</v>
      </c>
      <c r="AB11" s="1742"/>
      <c r="AC11" s="1742"/>
      <c r="AD11" s="1742"/>
      <c r="AE11" s="1742"/>
      <c r="AF11" s="1742"/>
      <c r="AG11" s="1742"/>
      <c r="AH11" s="1742"/>
      <c r="AI11" s="1742"/>
      <c r="AJ11" s="1742"/>
      <c r="AK11" s="1742"/>
      <c r="AL11" s="1742"/>
      <c r="AM11" s="1742"/>
      <c r="AN11" s="1742"/>
    </row>
    <row r="12" spans="1:40" s="1744" customFormat="1" ht="15.6">
      <c r="A12" s="507" t="s">
        <v>467</v>
      </c>
      <c r="B12" s="496">
        <v>15864357</v>
      </c>
      <c r="C12" s="497"/>
      <c r="D12" s="496">
        <f>B47</f>
        <v>114747009</v>
      </c>
      <c r="E12" s="1303"/>
      <c r="F12" s="496">
        <f>D47</f>
        <v>145654657</v>
      </c>
      <c r="G12" s="1303"/>
      <c r="H12" s="496">
        <f>F47</f>
        <v>159720053</v>
      </c>
      <c r="I12" s="1743"/>
      <c r="J12" s="496">
        <f>H47</f>
        <v>245054517</v>
      </c>
      <c r="K12" s="498"/>
      <c r="L12" s="496">
        <f>J47</f>
        <v>236162456</v>
      </c>
      <c r="M12" s="508"/>
      <c r="N12" s="496">
        <f>L47</f>
        <v>248383918</v>
      </c>
      <c r="O12" s="509"/>
      <c r="P12" s="509">
        <f>N47</f>
        <v>252474319</v>
      </c>
      <c r="Q12" s="509"/>
      <c r="R12" s="509">
        <f>P47</f>
        <v>111489568</v>
      </c>
      <c r="S12" s="509"/>
      <c r="T12" s="509">
        <f>R47</f>
        <v>180007607</v>
      </c>
      <c r="U12" s="509"/>
      <c r="V12" s="509"/>
      <c r="W12" s="509"/>
      <c r="X12" s="509"/>
      <c r="Y12" s="509"/>
      <c r="Z12" s="509">
        <f>+B12</f>
        <v>15864357</v>
      </c>
      <c r="AA12" s="3384"/>
    </row>
    <row r="13" spans="1:40" ht="15.6">
      <c r="A13" s="1745"/>
      <c r="B13" s="1305"/>
      <c r="C13" s="1306"/>
      <c r="D13" s="1305"/>
      <c r="E13" s="1305"/>
      <c r="F13" s="1305"/>
      <c r="G13" s="1305"/>
      <c r="H13" s="1305"/>
      <c r="I13" s="1315"/>
      <c r="J13" s="1315"/>
      <c r="K13" s="493"/>
      <c r="L13" s="1315"/>
      <c r="M13" s="1315"/>
      <c r="N13" s="1315"/>
      <c r="O13" s="1315"/>
      <c r="P13" s="1315"/>
      <c r="Q13" s="1315"/>
      <c r="R13" s="1315"/>
      <c r="S13" s="1315"/>
      <c r="T13" s="1315"/>
      <c r="U13" s="1315"/>
      <c r="V13" s="1315"/>
      <c r="W13" s="1315"/>
      <c r="X13" s="1315"/>
      <c r="Y13" s="1315"/>
      <c r="Z13" s="1747"/>
    </row>
    <row r="14" spans="1:40" ht="15.6">
      <c r="A14" s="506" t="s">
        <v>13</v>
      </c>
      <c r="B14" s="1305"/>
      <c r="C14" s="1306"/>
      <c r="D14" s="1305"/>
      <c r="E14" s="1305"/>
      <c r="F14" s="1305"/>
      <c r="G14" s="1305"/>
      <c r="H14" s="1305"/>
      <c r="I14" s="1315"/>
      <c r="J14" s="1315"/>
      <c r="K14" s="1315"/>
      <c r="L14" s="1315"/>
      <c r="M14" s="1315"/>
      <c r="N14" s="1315"/>
      <c r="O14" s="1315"/>
      <c r="P14" s="1315"/>
      <c r="Q14" s="1315"/>
      <c r="R14" s="1315"/>
      <c r="S14" s="1315"/>
      <c r="T14" s="1315"/>
      <c r="U14" s="1315"/>
      <c r="V14" s="1315"/>
      <c r="W14" s="1315"/>
      <c r="X14" s="1315"/>
      <c r="Y14" s="1315"/>
      <c r="Z14" s="1747"/>
    </row>
    <row r="15" spans="1:40">
      <c r="A15" s="808" t="s">
        <v>468</v>
      </c>
      <c r="B15" s="1308">
        <v>69708587</v>
      </c>
      <c r="C15" s="1309"/>
      <c r="D15" s="1308">
        <v>51733707</v>
      </c>
      <c r="E15" s="1308"/>
      <c r="F15" s="1308">
        <v>64925784</v>
      </c>
      <c r="G15" s="1308"/>
      <c r="H15" s="1308">
        <v>59829609</v>
      </c>
      <c r="I15" s="1313"/>
      <c r="J15" s="1308">
        <v>62332930</v>
      </c>
      <c r="K15" s="1313"/>
      <c r="L15" s="1308">
        <v>56116441</v>
      </c>
      <c r="M15" s="1315"/>
      <c r="N15" s="1308">
        <v>60603823</v>
      </c>
      <c r="O15" s="1313"/>
      <c r="P15" s="1313">
        <v>55171362</v>
      </c>
      <c r="Q15" s="1313"/>
      <c r="R15" s="1313">
        <v>56695601</v>
      </c>
      <c r="S15" s="1313"/>
      <c r="T15" s="1313">
        <f>$Z15-$B15-$D15-$F15-$H15-$J15-$L15-$N15-R15-P15</f>
        <v>46219041</v>
      </c>
      <c r="U15" s="1313"/>
      <c r="V15" s="1313"/>
      <c r="W15" s="1313"/>
      <c r="X15" s="1313"/>
      <c r="Y15" s="1313"/>
      <c r="Z15" s="1313">
        <v>583336885</v>
      </c>
    </row>
    <row r="16" spans="1:40">
      <c r="A16" s="808" t="s">
        <v>1344</v>
      </c>
      <c r="B16" s="1308">
        <v>1648000</v>
      </c>
      <c r="C16" s="1309"/>
      <c r="D16" s="1308">
        <v>1459000</v>
      </c>
      <c r="E16" s="1308"/>
      <c r="F16" s="1308">
        <v>1274000</v>
      </c>
      <c r="G16" s="1308"/>
      <c r="H16" s="1308">
        <v>1676000</v>
      </c>
      <c r="I16" s="1313"/>
      <c r="J16" s="1308">
        <v>1306000</v>
      </c>
      <c r="K16" s="1313"/>
      <c r="L16" s="1308">
        <v>1626000</v>
      </c>
      <c r="M16" s="1315"/>
      <c r="N16" s="1308">
        <v>1727000</v>
      </c>
      <c r="O16" s="1313"/>
      <c r="P16" s="1313">
        <v>1251000</v>
      </c>
      <c r="Q16" s="1313"/>
      <c r="R16" s="1313">
        <v>1761000</v>
      </c>
      <c r="S16" s="1313"/>
      <c r="T16" s="1313">
        <f t="shared" ref="T16:T24" si="0">$Z16-$B16-$D16-$F16-$H16-$J16-$L16-$N16-R16-P16</f>
        <v>1490000</v>
      </c>
      <c r="U16" s="1313"/>
      <c r="V16" s="1313"/>
      <c r="W16" s="1313"/>
      <c r="X16" s="1313"/>
      <c r="Y16" s="1313"/>
      <c r="Z16" s="1313">
        <v>15218000</v>
      </c>
    </row>
    <row r="17" spans="1:28">
      <c r="A17" s="808" t="s">
        <v>1341</v>
      </c>
      <c r="B17" s="1308">
        <v>195233</v>
      </c>
      <c r="C17" s="1309"/>
      <c r="D17" s="1308">
        <v>36284</v>
      </c>
      <c r="E17" s="1308"/>
      <c r="F17" s="1308">
        <v>6603432</v>
      </c>
      <c r="G17" s="1308"/>
      <c r="H17" s="1308">
        <v>121491</v>
      </c>
      <c r="I17" s="1313"/>
      <c r="J17" s="1308">
        <v>8416</v>
      </c>
      <c r="K17" s="1313"/>
      <c r="L17" s="1308">
        <v>7791035</v>
      </c>
      <c r="M17" s="1315"/>
      <c r="N17" s="1308">
        <v>54540</v>
      </c>
      <c r="O17" s="1313"/>
      <c r="P17" s="1313">
        <v>40320</v>
      </c>
      <c r="Q17" s="1313"/>
      <c r="R17" s="1313">
        <v>7734910</v>
      </c>
      <c r="S17" s="1313"/>
      <c r="T17" s="1313">
        <f t="shared" si="0"/>
        <v>66997</v>
      </c>
      <c r="U17" s="1313"/>
      <c r="V17" s="1313"/>
      <c r="W17" s="1313"/>
      <c r="X17" s="1313"/>
      <c r="Y17" s="1313"/>
      <c r="Z17" s="1313">
        <v>22652658</v>
      </c>
    </row>
    <row r="18" spans="1:28">
      <c r="A18" s="808" t="s">
        <v>469</v>
      </c>
      <c r="B18" s="1308">
        <v>25976</v>
      </c>
      <c r="C18" s="1309"/>
      <c r="D18" s="1308">
        <v>16935</v>
      </c>
      <c r="E18" s="1308"/>
      <c r="F18" s="1308">
        <v>19037</v>
      </c>
      <c r="G18" s="1308"/>
      <c r="H18" s="1308">
        <v>14171</v>
      </c>
      <c r="I18" s="1313"/>
      <c r="J18" s="1308">
        <v>14291</v>
      </c>
      <c r="K18" s="1313"/>
      <c r="L18" s="1308">
        <v>22003</v>
      </c>
      <c r="M18" s="1315"/>
      <c r="N18" s="1308">
        <v>21927</v>
      </c>
      <c r="O18" s="1313"/>
      <c r="P18" s="1313">
        <v>23224</v>
      </c>
      <c r="Q18" s="1313"/>
      <c r="R18" s="1313">
        <v>17882</v>
      </c>
      <c r="S18" s="1313"/>
      <c r="T18" s="1313">
        <f t="shared" si="0"/>
        <v>22547</v>
      </c>
      <c r="U18" s="1313"/>
      <c r="V18" s="1313"/>
      <c r="W18" s="1313"/>
      <c r="X18" s="1313"/>
      <c r="Y18" s="1313"/>
      <c r="Z18" s="1313">
        <v>197993</v>
      </c>
    </row>
    <row r="19" spans="1:28">
      <c r="A19" s="808" t="s">
        <v>470</v>
      </c>
      <c r="B19" s="1308">
        <v>0</v>
      </c>
      <c r="C19" s="1311"/>
      <c r="D19" s="1308">
        <v>0</v>
      </c>
      <c r="E19" s="1843"/>
      <c r="F19" s="1308">
        <v>0</v>
      </c>
      <c r="G19" s="1843"/>
      <c r="H19" s="1308">
        <v>0</v>
      </c>
      <c r="I19" s="1313"/>
      <c r="J19" s="1308">
        <v>0</v>
      </c>
      <c r="K19" s="1748"/>
      <c r="L19" s="1308">
        <v>0</v>
      </c>
      <c r="M19" s="1315"/>
      <c r="N19" s="1308">
        <v>0</v>
      </c>
      <c r="O19" s="1313"/>
      <c r="P19" s="1313">
        <v>0</v>
      </c>
      <c r="Q19" s="1313"/>
      <c r="R19" s="1313">
        <v>0</v>
      </c>
      <c r="S19" s="1313"/>
      <c r="T19" s="1313">
        <f t="shared" si="0"/>
        <v>0</v>
      </c>
      <c r="U19" s="1313"/>
      <c r="V19" s="1313"/>
      <c r="W19" s="1313"/>
      <c r="X19" s="1313"/>
      <c r="Y19" s="1313"/>
      <c r="Z19" s="1319">
        <v>0</v>
      </c>
    </row>
    <row r="20" spans="1:28">
      <c r="A20" s="808" t="s">
        <v>471</v>
      </c>
      <c r="B20" s="1308">
        <v>414748474</v>
      </c>
      <c r="C20" s="1309"/>
      <c r="D20" s="1308">
        <v>457225416</v>
      </c>
      <c r="E20" s="1308"/>
      <c r="F20" s="1308">
        <v>477819714</v>
      </c>
      <c r="G20" s="1308"/>
      <c r="H20" s="1308">
        <v>458852224</v>
      </c>
      <c r="I20" s="1313"/>
      <c r="J20" s="1308">
        <v>457886237</v>
      </c>
      <c r="K20" s="1313"/>
      <c r="L20" s="1308">
        <v>461408108</v>
      </c>
      <c r="M20" s="1315"/>
      <c r="N20" s="1308">
        <v>440416406</v>
      </c>
      <c r="O20" s="1313"/>
      <c r="P20" s="1313">
        <v>460846426</v>
      </c>
      <c r="Q20" s="1313"/>
      <c r="R20" s="1313">
        <v>481249233</v>
      </c>
      <c r="S20" s="1313"/>
      <c r="T20" s="1313">
        <f t="shared" si="0"/>
        <v>419487378</v>
      </c>
      <c r="U20" s="1313"/>
      <c r="V20" s="1313"/>
      <c r="W20" s="1313"/>
      <c r="X20" s="1313"/>
      <c r="Y20" s="1313"/>
      <c r="Z20" s="1313">
        <v>4529939616</v>
      </c>
    </row>
    <row r="21" spans="1:28">
      <c r="A21" s="808" t="s">
        <v>472</v>
      </c>
      <c r="B21" s="1308">
        <v>279000</v>
      </c>
      <c r="C21" s="1311"/>
      <c r="D21" s="1308">
        <v>75000</v>
      </c>
      <c r="E21" s="1308"/>
      <c r="F21" s="1308">
        <v>757099</v>
      </c>
      <c r="G21" s="1308"/>
      <c r="H21" s="1308">
        <v>897000</v>
      </c>
      <c r="I21" s="1313"/>
      <c r="J21" s="1308">
        <v>1566000</v>
      </c>
      <c r="K21" s="1316"/>
      <c r="L21" s="1308">
        <v>618000</v>
      </c>
      <c r="M21" s="1315"/>
      <c r="N21" s="1308">
        <v>127000</v>
      </c>
      <c r="O21" s="1313"/>
      <c r="P21" s="1313">
        <v>95000</v>
      </c>
      <c r="Q21" s="1313"/>
      <c r="R21" s="1313">
        <v>1745000</v>
      </c>
      <c r="S21" s="1313"/>
      <c r="T21" s="1313">
        <f t="shared" si="0"/>
        <v>878000</v>
      </c>
      <c r="U21" s="1313"/>
      <c r="V21" s="1313"/>
      <c r="W21" s="1319"/>
      <c r="X21" s="1313"/>
      <c r="Y21" s="1313"/>
      <c r="Z21" s="1313">
        <v>7037099</v>
      </c>
    </row>
    <row r="22" spans="1:28">
      <c r="A22" s="808" t="s">
        <v>473</v>
      </c>
      <c r="B22" s="1308">
        <v>4640806</v>
      </c>
      <c r="C22" s="1311"/>
      <c r="D22" s="1308">
        <v>263285</v>
      </c>
      <c r="E22" s="1308"/>
      <c r="F22" s="1308">
        <v>6664296</v>
      </c>
      <c r="G22" s="1308"/>
      <c r="H22" s="1308">
        <v>5005057</v>
      </c>
      <c r="I22" s="1313"/>
      <c r="J22" s="1308">
        <v>1011717</v>
      </c>
      <c r="K22" s="1316"/>
      <c r="L22" s="1308">
        <v>7553581</v>
      </c>
      <c r="M22" s="1315"/>
      <c r="N22" s="1308">
        <v>8367221</v>
      </c>
      <c r="O22" s="1313"/>
      <c r="P22" s="1313">
        <v>234849</v>
      </c>
      <c r="Q22" s="1313"/>
      <c r="R22" s="1313">
        <v>3693215</v>
      </c>
      <c r="S22" s="1313"/>
      <c r="T22" s="1313">
        <f t="shared" si="0"/>
        <v>6386632</v>
      </c>
      <c r="U22" s="1313"/>
      <c r="V22" s="1313"/>
      <c r="W22" s="1319"/>
      <c r="X22" s="1313"/>
      <c r="Y22" s="1313"/>
      <c r="Z22" s="1313">
        <v>43820659</v>
      </c>
    </row>
    <row r="23" spans="1:28">
      <c r="A23" s="808" t="s">
        <v>474</v>
      </c>
      <c r="B23" s="1308">
        <v>0</v>
      </c>
      <c r="C23" s="1311"/>
      <c r="D23" s="1308">
        <v>0</v>
      </c>
      <c r="E23" s="1308"/>
      <c r="F23" s="1308">
        <v>0</v>
      </c>
      <c r="G23" s="1308"/>
      <c r="H23" s="1308">
        <v>0</v>
      </c>
      <c r="I23" s="1313"/>
      <c r="J23" s="1308">
        <v>0</v>
      </c>
      <c r="K23" s="1316"/>
      <c r="L23" s="1308">
        <v>0</v>
      </c>
      <c r="M23" s="1315"/>
      <c r="N23" s="1308">
        <v>0</v>
      </c>
      <c r="O23" s="1313"/>
      <c r="P23" s="1313">
        <v>0</v>
      </c>
      <c r="Q23" s="1313"/>
      <c r="R23" s="1313">
        <v>0</v>
      </c>
      <c r="S23" s="1313"/>
      <c r="T23" s="1313">
        <f t="shared" si="0"/>
        <v>0</v>
      </c>
      <c r="U23" s="1313"/>
      <c r="V23" s="1313"/>
      <c r="W23" s="1319"/>
      <c r="X23" s="1313"/>
      <c r="Y23" s="1313"/>
      <c r="Z23" s="1313">
        <v>0</v>
      </c>
    </row>
    <row r="24" spans="1:28">
      <c r="A24" s="808" t="s">
        <v>475</v>
      </c>
      <c r="B24" s="1308">
        <v>0</v>
      </c>
      <c r="C24" s="1844"/>
      <c r="D24" s="1308">
        <v>1104</v>
      </c>
      <c r="E24" s="1308"/>
      <c r="F24" s="1308">
        <v>3026622</v>
      </c>
      <c r="G24" s="1308"/>
      <c r="H24" s="1308">
        <v>8171</v>
      </c>
      <c r="I24" s="1313"/>
      <c r="J24" s="1308">
        <v>18066</v>
      </c>
      <c r="K24" s="1313"/>
      <c r="L24" s="1308">
        <v>0</v>
      </c>
      <c r="M24" s="1315"/>
      <c r="N24" s="1308">
        <v>5921</v>
      </c>
      <c r="O24" s="1313"/>
      <c r="P24" s="1313">
        <v>1</v>
      </c>
      <c r="Q24" s="1313"/>
      <c r="R24" s="1313">
        <v>0</v>
      </c>
      <c r="S24" s="1313"/>
      <c r="T24" s="1313">
        <f t="shared" si="0"/>
        <v>47043</v>
      </c>
      <c r="U24" s="1313"/>
      <c r="V24" s="1313"/>
      <c r="W24" s="1313"/>
      <c r="X24" s="1313"/>
      <c r="Y24" s="1313"/>
      <c r="Z24" s="1313">
        <v>3106928</v>
      </c>
    </row>
    <row r="25" spans="1:28" s="1744" customFormat="1" ht="15.6">
      <c r="A25" s="506" t="s">
        <v>149</v>
      </c>
      <c r="B25" s="1845">
        <f>ROUND(SUM(B15:B24),0)</f>
        <v>491246076</v>
      </c>
      <c r="C25" s="502"/>
      <c r="D25" s="1845">
        <f>ROUND(SUM(D15:D24),0)</f>
        <v>510810731</v>
      </c>
      <c r="E25" s="503"/>
      <c r="F25" s="1845">
        <f>ROUND(SUM(F15:F24),0)</f>
        <v>561089984</v>
      </c>
      <c r="G25" s="503"/>
      <c r="H25" s="1845">
        <f>ROUND(SUM(H15:H24),0)</f>
        <v>526403723</v>
      </c>
      <c r="I25" s="1749"/>
      <c r="J25" s="1712">
        <f>ROUND(SUM(J15:J24),0)</f>
        <v>524143657</v>
      </c>
      <c r="K25" s="505"/>
      <c r="L25" s="1712">
        <f>ROUND(SUM(L15:L24),0)</f>
        <v>535135168</v>
      </c>
      <c r="M25" s="508"/>
      <c r="N25" s="1712">
        <f>ROUND(SUM(N15:N24),0)</f>
        <v>511323838</v>
      </c>
      <c r="O25" s="1749"/>
      <c r="P25" s="1712">
        <f>ROUND(SUM(P15:P24),0)</f>
        <v>517662182</v>
      </c>
      <c r="Q25" s="1749"/>
      <c r="R25" s="1712">
        <f>ROUND(SUM(R15:R24),0)</f>
        <v>552896841</v>
      </c>
      <c r="S25" s="1749"/>
      <c r="T25" s="1712">
        <f>ROUND(SUM(T15:T24),0)</f>
        <v>474597638</v>
      </c>
      <c r="U25" s="1749"/>
      <c r="V25" s="1712">
        <f>ROUND(SUM(V15:V24),0)</f>
        <v>0</v>
      </c>
      <c r="W25" s="1749"/>
      <c r="X25" s="1712">
        <f>ROUND(SUM(X15:X24),0)</f>
        <v>0</v>
      </c>
      <c r="Y25" s="1749"/>
      <c r="Z25" s="504">
        <f>ROUND(SUM(Z15:Z24),0)</f>
        <v>5205309838</v>
      </c>
      <c r="AA25" s="3384"/>
      <c r="AB25" s="1750"/>
    </row>
    <row r="26" spans="1:28">
      <c r="A26" s="1745"/>
      <c r="B26" s="1308"/>
      <c r="C26" s="1309"/>
      <c r="D26" s="1308"/>
      <c r="E26" s="1308"/>
      <c r="F26" s="1308"/>
      <c r="G26" s="1308"/>
      <c r="H26" s="1308"/>
      <c r="I26" s="1313"/>
      <c r="J26" s="1313"/>
      <c r="K26" s="1313"/>
      <c r="L26" s="1313"/>
      <c r="M26" s="1315"/>
      <c r="N26" s="1313"/>
      <c r="O26" s="1313"/>
      <c r="P26" s="1313"/>
      <c r="Q26" s="1313"/>
      <c r="R26" s="1313"/>
      <c r="S26" s="1313"/>
      <c r="T26" s="1313"/>
      <c r="U26" s="1313"/>
      <c r="V26" s="1313"/>
      <c r="W26" s="1313"/>
      <c r="X26" s="1313"/>
      <c r="Y26" s="1313"/>
      <c r="Z26" s="1310"/>
    </row>
    <row r="27" spans="1:28" ht="15.6">
      <c r="A27" s="506" t="s">
        <v>22</v>
      </c>
      <c r="B27" s="1308"/>
      <c r="C27" s="1309"/>
      <c r="D27" s="1308"/>
      <c r="E27" s="1308"/>
      <c r="F27" s="1308"/>
      <c r="G27" s="1308"/>
      <c r="H27" s="1308"/>
      <c r="I27" s="1313"/>
      <c r="J27" s="1313"/>
      <c r="K27" s="1313"/>
      <c r="L27" s="1313"/>
      <c r="M27" s="1315"/>
      <c r="N27" s="1313"/>
      <c r="O27" s="1313"/>
      <c r="P27" s="1313"/>
      <c r="Q27" s="1313"/>
      <c r="R27" s="1313"/>
      <c r="S27" s="1313"/>
      <c r="T27" s="1313"/>
      <c r="U27" s="1313"/>
      <c r="V27" s="1313"/>
      <c r="W27" s="1313"/>
      <c r="X27" s="1313"/>
      <c r="Y27" s="1313"/>
      <c r="Z27" s="1310"/>
    </row>
    <row r="28" spans="1:28">
      <c r="A28" s="808" t="s">
        <v>476</v>
      </c>
      <c r="B28" s="1308">
        <v>389370867</v>
      </c>
      <c r="C28" s="1314"/>
      <c r="D28" s="1308">
        <v>471920457</v>
      </c>
      <c r="E28" s="1313"/>
      <c r="F28" s="1308">
        <v>537645318</v>
      </c>
      <c r="G28" s="1313"/>
      <c r="H28" s="1308">
        <v>431140487</v>
      </c>
      <c r="I28" s="1313"/>
      <c r="J28" s="1308">
        <v>525222097</v>
      </c>
      <c r="K28" s="1313"/>
      <c r="L28" s="1308">
        <v>516132496</v>
      </c>
      <c r="M28" s="1315"/>
      <c r="N28" s="1308">
        <v>505441410</v>
      </c>
      <c r="O28" s="1313"/>
      <c r="P28" s="1313">
        <v>652481638</v>
      </c>
      <c r="Q28" s="1313"/>
      <c r="R28" s="1313">
        <v>474351409</v>
      </c>
      <c r="S28" s="1313"/>
      <c r="T28" s="1313">
        <f t="shared" ref="T28:T32" si="1">$Z28-$B28-$D28-$F28-$H28-$J28-$L28-$N28-R28-P28</f>
        <v>457423405</v>
      </c>
      <c r="U28" s="1313"/>
      <c r="V28" s="1313"/>
      <c r="W28" s="1313"/>
      <c r="X28" s="1313"/>
      <c r="Y28" s="1313"/>
      <c r="Z28" s="1313">
        <v>4961129584</v>
      </c>
    </row>
    <row r="29" spans="1:28">
      <c r="A29" s="808" t="s">
        <v>477</v>
      </c>
      <c r="B29" s="1308">
        <v>47</v>
      </c>
      <c r="C29" s="1314"/>
      <c r="D29" s="1308">
        <v>108</v>
      </c>
      <c r="E29" s="1313"/>
      <c r="F29" s="1308">
        <v>157</v>
      </c>
      <c r="G29" s="1313"/>
      <c r="H29" s="1308">
        <v>1060</v>
      </c>
      <c r="I29" s="1313"/>
      <c r="J29" s="1308">
        <v>1583</v>
      </c>
      <c r="K29" s="1313"/>
      <c r="L29" s="1308">
        <v>1361</v>
      </c>
      <c r="M29" s="1315"/>
      <c r="N29" s="1308">
        <v>-610</v>
      </c>
      <c r="O29" s="1313"/>
      <c r="P29" s="1313">
        <v>3280</v>
      </c>
      <c r="Q29" s="1313"/>
      <c r="R29" s="1313">
        <v>5406</v>
      </c>
      <c r="S29" s="1313"/>
      <c r="T29" s="1313">
        <f t="shared" si="1"/>
        <v>231</v>
      </c>
      <c r="U29" s="1313"/>
      <c r="V29" s="1313"/>
      <c r="W29" s="1313"/>
      <c r="X29" s="1313"/>
      <c r="Y29" s="1313"/>
      <c r="Z29" s="1313">
        <v>12623</v>
      </c>
      <c r="AB29" s="1751"/>
    </row>
    <row r="30" spans="1:28">
      <c r="A30" s="808" t="s">
        <v>478</v>
      </c>
      <c r="B30" s="1308">
        <v>927463</v>
      </c>
      <c r="C30" s="1314"/>
      <c r="D30" s="1308">
        <v>929434</v>
      </c>
      <c r="E30" s="1313"/>
      <c r="F30" s="1308">
        <v>521245</v>
      </c>
      <c r="G30" s="1313"/>
      <c r="H30" s="1308">
        <v>742436</v>
      </c>
      <c r="I30" s="1313"/>
      <c r="J30" s="1308">
        <v>1060813</v>
      </c>
      <c r="K30" s="1313"/>
      <c r="L30" s="1308">
        <v>1319948</v>
      </c>
      <c r="M30" s="1315"/>
      <c r="N30" s="1308">
        <v>265068</v>
      </c>
      <c r="O30" s="1313"/>
      <c r="P30" s="1313">
        <v>1568618</v>
      </c>
      <c r="Q30" s="1313"/>
      <c r="R30" s="1313">
        <v>1515144</v>
      </c>
      <c r="S30" s="1313"/>
      <c r="T30" s="1313">
        <f t="shared" si="1"/>
        <v>280220</v>
      </c>
      <c r="U30" s="1313"/>
      <c r="V30" s="1313"/>
      <c r="W30" s="1313"/>
      <c r="X30" s="1313"/>
      <c r="Y30" s="1313"/>
      <c r="Z30" s="1313">
        <v>9130389</v>
      </c>
    </row>
    <row r="31" spans="1:28">
      <c r="A31" s="808" t="s">
        <v>479</v>
      </c>
      <c r="B31" s="1308">
        <v>952452</v>
      </c>
      <c r="C31" s="1314"/>
      <c r="D31" s="1308">
        <v>6137767</v>
      </c>
      <c r="E31" s="1313"/>
      <c r="F31" s="1308">
        <v>6694728</v>
      </c>
      <c r="G31" s="1313"/>
      <c r="H31" s="1308">
        <v>2687862</v>
      </c>
      <c r="I31" s="1313"/>
      <c r="J31" s="1308">
        <v>5697716</v>
      </c>
      <c r="K31" s="1313"/>
      <c r="L31" s="1308">
        <v>4428571</v>
      </c>
      <c r="M31" s="1315"/>
      <c r="N31" s="1308">
        <v>1026703</v>
      </c>
      <c r="O31" s="1313"/>
      <c r="P31" s="1313">
        <v>8754698</v>
      </c>
      <c r="Q31" s="1313"/>
      <c r="R31" s="1313">
        <v>3543066</v>
      </c>
      <c r="S31" s="1313"/>
      <c r="T31" s="1313">
        <f t="shared" si="1"/>
        <v>3548552</v>
      </c>
      <c r="U31" s="1313"/>
      <c r="V31" s="1313"/>
      <c r="W31" s="1313"/>
      <c r="X31" s="1313"/>
      <c r="Y31" s="1313"/>
      <c r="Z31" s="1313">
        <v>43472115</v>
      </c>
    </row>
    <row r="32" spans="1:28">
      <c r="A32" s="808" t="s">
        <v>480</v>
      </c>
      <c r="B32" s="1308">
        <v>577094</v>
      </c>
      <c r="C32" s="1314"/>
      <c r="D32" s="1308">
        <v>581800</v>
      </c>
      <c r="E32" s="1313"/>
      <c r="F32" s="1308">
        <v>737800</v>
      </c>
      <c r="G32" s="1313"/>
      <c r="H32" s="1308">
        <v>148953</v>
      </c>
      <c r="I32" s="1313"/>
      <c r="J32" s="1308">
        <v>661882</v>
      </c>
      <c r="K32" s="1313"/>
      <c r="L32" s="1308">
        <v>711327</v>
      </c>
      <c r="M32" s="1315"/>
      <c r="N32" s="1308">
        <v>174942</v>
      </c>
      <c r="O32" s="1313"/>
      <c r="P32" s="1313">
        <v>954879</v>
      </c>
      <c r="Q32" s="1313"/>
      <c r="R32" s="1313">
        <v>1220407</v>
      </c>
      <c r="S32" s="1313"/>
      <c r="T32" s="1313">
        <f t="shared" si="1"/>
        <v>167197</v>
      </c>
      <c r="U32" s="1313"/>
      <c r="V32" s="1313"/>
      <c r="W32" s="1313"/>
      <c r="X32" s="1313"/>
      <c r="Y32" s="1313"/>
      <c r="Z32" s="1313">
        <v>5936281</v>
      </c>
    </row>
    <row r="33" spans="1:28" ht="15.6">
      <c r="A33" s="506" t="s">
        <v>155</v>
      </c>
      <c r="B33" s="1712">
        <f>ROUND(SUM(B28:B32),0)</f>
        <v>391827923</v>
      </c>
      <c r="C33" s="1314"/>
      <c r="D33" s="1712">
        <f>ROUND(SUM(D28:D32),0)</f>
        <v>479569566</v>
      </c>
      <c r="E33" s="1313"/>
      <c r="F33" s="1712">
        <f>ROUND(SUM(F28:F32),0)</f>
        <v>545599248</v>
      </c>
      <c r="G33" s="1313"/>
      <c r="H33" s="1712">
        <f>ROUND(SUM(H28:H32),0)</f>
        <v>434720798</v>
      </c>
      <c r="I33" s="1313"/>
      <c r="J33" s="1712">
        <f>ROUND(SUM(J28:J32),0)</f>
        <v>532644091</v>
      </c>
      <c r="K33" s="1313"/>
      <c r="L33" s="1712">
        <f>ROUND(SUM(L28:L32),0)</f>
        <v>522593703</v>
      </c>
      <c r="M33" s="1315"/>
      <c r="N33" s="1712">
        <f>ROUND(SUM(N28:N32),0)</f>
        <v>506907513</v>
      </c>
      <c r="O33" s="1313"/>
      <c r="P33" s="1712">
        <f>ROUND(SUM(P28:P32),0)</f>
        <v>663763113</v>
      </c>
      <c r="Q33" s="1313"/>
      <c r="R33" s="1712">
        <f>ROUND(SUM(R28:R32),0)</f>
        <v>480635432</v>
      </c>
      <c r="S33" s="1313"/>
      <c r="T33" s="1712">
        <f>ROUND(SUM(T28:T32),0)</f>
        <v>461419605</v>
      </c>
      <c r="U33" s="1313"/>
      <c r="V33" s="1712">
        <f>ROUND(SUM(V28:V32),0)</f>
        <v>0</v>
      </c>
      <c r="W33" s="1313"/>
      <c r="X33" s="1712">
        <f>ROUND(SUM(X28:X32),0)</f>
        <v>0</v>
      </c>
      <c r="Y33" s="1313"/>
      <c r="Z33" s="504">
        <f>ROUND(SUM(Z28:Z32),0)</f>
        <v>5019680992</v>
      </c>
    </row>
    <row r="34" spans="1:28" ht="15.6">
      <c r="A34" s="506"/>
      <c r="B34" s="1313"/>
      <c r="C34" s="1314"/>
      <c r="D34" s="1313"/>
      <c r="E34" s="1313"/>
      <c r="F34" s="1319"/>
      <c r="G34" s="1313"/>
      <c r="H34" s="1319"/>
      <c r="I34" s="1313"/>
      <c r="J34" s="1313"/>
      <c r="K34" s="1313"/>
      <c r="L34" s="1313"/>
      <c r="M34" s="1315"/>
      <c r="N34" s="1313"/>
      <c r="O34" s="1313"/>
      <c r="P34" s="1313"/>
      <c r="Q34" s="1313"/>
      <c r="R34" s="1313"/>
      <c r="S34" s="1313"/>
      <c r="T34" s="1313"/>
      <c r="U34" s="1313"/>
      <c r="V34" s="1313"/>
      <c r="W34" s="1313"/>
      <c r="X34" s="1313"/>
      <c r="Y34" s="1313"/>
      <c r="Z34" s="1310"/>
    </row>
    <row r="35" spans="1:28" ht="15.6">
      <c r="A35" s="507" t="s">
        <v>481</v>
      </c>
      <c r="B35" s="1319"/>
      <c r="C35" s="1320"/>
      <c r="D35" s="1319"/>
      <c r="E35" s="1313"/>
      <c r="F35" s="1318"/>
      <c r="G35" s="1313"/>
      <c r="H35" s="1319"/>
      <c r="I35" s="1313"/>
      <c r="J35" s="1319"/>
      <c r="K35" s="1313"/>
      <c r="L35" s="1319"/>
      <c r="M35" s="1315"/>
      <c r="N35" s="1319"/>
      <c r="O35" s="1313"/>
      <c r="P35" s="1319"/>
      <c r="Q35" s="1313"/>
      <c r="R35" s="1319"/>
      <c r="S35" s="1313"/>
      <c r="T35" s="1319"/>
      <c r="U35" s="1313"/>
      <c r="V35" s="1319"/>
      <c r="W35" s="1313"/>
      <c r="X35" s="1319"/>
      <c r="Y35" s="1313"/>
      <c r="Z35" s="1310"/>
    </row>
    <row r="36" spans="1:28">
      <c r="A36" s="808" t="s">
        <v>482</v>
      </c>
      <c r="B36" s="1308">
        <v>0</v>
      </c>
      <c r="C36" s="1320"/>
      <c r="D36" s="1308">
        <v>0</v>
      </c>
      <c r="E36" s="1313"/>
      <c r="F36" s="1308">
        <v>0</v>
      </c>
      <c r="G36" s="1313"/>
      <c r="H36" s="1308">
        <v>0</v>
      </c>
      <c r="I36" s="1313"/>
      <c r="J36" s="1308">
        <v>0</v>
      </c>
      <c r="K36" s="1313"/>
      <c r="L36" s="1308">
        <v>0</v>
      </c>
      <c r="M36" s="1315"/>
      <c r="N36" s="1308">
        <v>0</v>
      </c>
      <c r="O36" s="1313"/>
      <c r="P36" s="1313">
        <v>0</v>
      </c>
      <c r="Q36" s="1313"/>
      <c r="R36" s="1313">
        <v>0</v>
      </c>
      <c r="S36" s="1313"/>
      <c r="T36" s="1313">
        <f t="shared" ref="T36:T42" si="2">$Z36-$B36-$D36-$F36-$H36-$J36-$L36-$N36-R36-P36</f>
        <v>0</v>
      </c>
      <c r="U36" s="1313"/>
      <c r="V36" s="1313"/>
      <c r="W36" s="1313"/>
      <c r="X36" s="1313"/>
      <c r="Y36" s="1313"/>
      <c r="Z36" s="1313">
        <v>0</v>
      </c>
    </row>
    <row r="37" spans="1:28">
      <c r="A37" s="808" t="s">
        <v>483</v>
      </c>
      <c r="B37" s="1308">
        <v>0</v>
      </c>
      <c r="C37" s="1320"/>
      <c r="D37" s="1308">
        <v>1104</v>
      </c>
      <c r="E37" s="1313"/>
      <c r="F37" s="1308">
        <v>602000</v>
      </c>
      <c r="G37" s="1313"/>
      <c r="H37" s="1308">
        <v>6229171</v>
      </c>
      <c r="I37" s="1313"/>
      <c r="J37" s="1308">
        <v>0</v>
      </c>
      <c r="K37" s="1313"/>
      <c r="L37" s="1308">
        <v>0</v>
      </c>
      <c r="M37" s="1315"/>
      <c r="N37" s="1308">
        <v>5921</v>
      </c>
      <c r="O37" s="1313"/>
      <c r="P37" s="1313">
        <v>-6220999</v>
      </c>
      <c r="Q37" s="1313"/>
      <c r="R37" s="1313">
        <v>304558</v>
      </c>
      <c r="S37" s="1313"/>
      <c r="T37" s="1313">
        <f t="shared" si="2"/>
        <v>1191</v>
      </c>
      <c r="U37" s="1313"/>
      <c r="V37" s="1313"/>
      <c r="W37" s="1313"/>
      <c r="X37" s="1313"/>
      <c r="Y37" s="1313"/>
      <c r="Z37" s="1313">
        <v>922946</v>
      </c>
    </row>
    <row r="38" spans="1:28">
      <c r="A38" s="808" t="s">
        <v>144</v>
      </c>
      <c r="B38" s="1308">
        <v>0</v>
      </c>
      <c r="C38" s="1320"/>
      <c r="D38" s="1308">
        <v>0</v>
      </c>
      <c r="E38" s="1313"/>
      <c r="F38" s="1308">
        <v>0</v>
      </c>
      <c r="G38" s="1313"/>
      <c r="H38" s="1308">
        <v>0</v>
      </c>
      <c r="I38" s="1313"/>
      <c r="J38" s="1308">
        <v>0</v>
      </c>
      <c r="K38" s="1313"/>
      <c r="L38" s="1308">
        <v>0</v>
      </c>
      <c r="M38" s="1315"/>
      <c r="N38" s="1308">
        <v>0</v>
      </c>
      <c r="O38" s="1313"/>
      <c r="P38" s="1313">
        <v>0</v>
      </c>
      <c r="Q38" s="1313"/>
      <c r="R38" s="1313">
        <v>0</v>
      </c>
      <c r="S38" s="1313"/>
      <c r="T38" s="1313">
        <f t="shared" si="2"/>
        <v>0</v>
      </c>
      <c r="U38" s="1313"/>
      <c r="V38" s="1313"/>
      <c r="W38" s="1313"/>
      <c r="X38" s="1313"/>
      <c r="Y38" s="1313"/>
      <c r="Z38" s="1313">
        <v>0</v>
      </c>
    </row>
    <row r="39" spans="1:28">
      <c r="A39" s="808" t="s">
        <v>1345</v>
      </c>
      <c r="B39" s="1308" t="s">
        <v>14</v>
      </c>
      <c r="C39" s="1847"/>
      <c r="D39" s="1308"/>
      <c r="E39" s="1847"/>
      <c r="F39" s="1308"/>
      <c r="G39" s="1847"/>
      <c r="H39" s="1308"/>
      <c r="I39" s="1752"/>
      <c r="J39" s="1308"/>
      <c r="K39" s="1752"/>
      <c r="L39" s="1308"/>
      <c r="M39" s="1315"/>
      <c r="N39" s="1308"/>
      <c r="O39" s="1752"/>
      <c r="P39" s="1313"/>
      <c r="Q39" s="1752"/>
      <c r="R39" s="1313"/>
      <c r="S39" s="1752"/>
      <c r="T39" s="1313"/>
      <c r="U39" s="1752"/>
      <c r="V39" s="1313"/>
      <c r="W39" s="1752"/>
      <c r="X39" s="1313"/>
      <c r="Y39" s="1752"/>
      <c r="Z39" s="1752"/>
    </row>
    <row r="40" spans="1:28">
      <c r="A40" s="808" t="s">
        <v>484</v>
      </c>
      <c r="B40" s="1308">
        <v>326891</v>
      </c>
      <c r="C40" s="1320"/>
      <c r="D40" s="1308">
        <v>0</v>
      </c>
      <c r="E40" s="1313"/>
      <c r="F40" s="1308">
        <v>340322</v>
      </c>
      <c r="G40" s="1313"/>
      <c r="H40" s="1308">
        <v>0</v>
      </c>
      <c r="I40" s="1313"/>
      <c r="J40" s="1308">
        <v>0</v>
      </c>
      <c r="K40" s="1313"/>
      <c r="L40" s="1308">
        <v>0</v>
      </c>
      <c r="M40" s="1315"/>
      <c r="N40" s="1308">
        <v>0</v>
      </c>
      <c r="O40" s="1313"/>
      <c r="P40" s="1313">
        <v>758199</v>
      </c>
      <c r="Q40" s="1313"/>
      <c r="R40" s="1313">
        <v>0</v>
      </c>
      <c r="S40" s="1313"/>
      <c r="T40" s="1313">
        <f t="shared" si="2"/>
        <v>0</v>
      </c>
      <c r="U40" s="1313"/>
      <c r="V40" s="1313"/>
      <c r="W40" s="1313"/>
      <c r="X40" s="1313"/>
      <c r="Y40" s="1313"/>
      <c r="Z40" s="1313">
        <v>1425412</v>
      </c>
    </row>
    <row r="41" spans="1:28">
      <c r="A41" s="808" t="s">
        <v>485</v>
      </c>
      <c r="B41" s="1308">
        <v>0</v>
      </c>
      <c r="C41" s="1320"/>
      <c r="D41" s="1308">
        <v>0</v>
      </c>
      <c r="E41" s="1313"/>
      <c r="F41" s="1308">
        <v>0</v>
      </c>
      <c r="G41" s="1313"/>
      <c r="H41" s="1308">
        <v>0</v>
      </c>
      <c r="I41" s="1313"/>
      <c r="J41" s="1308">
        <v>0</v>
      </c>
      <c r="K41" s="1313"/>
      <c r="L41" s="1308">
        <v>0</v>
      </c>
      <c r="M41" s="1315"/>
      <c r="N41" s="1308">
        <v>0</v>
      </c>
      <c r="O41" s="1313"/>
      <c r="P41" s="1313">
        <v>0</v>
      </c>
      <c r="Q41" s="1313"/>
      <c r="R41" s="1313">
        <v>3000000</v>
      </c>
      <c r="S41" s="1313"/>
      <c r="T41" s="1313">
        <f t="shared" si="2"/>
        <v>2000000</v>
      </c>
      <c r="U41" s="1313"/>
      <c r="V41" s="1313"/>
      <c r="W41" s="1313"/>
      <c r="X41" s="1313"/>
      <c r="Y41" s="1313"/>
      <c r="Z41" s="1313">
        <v>5000000</v>
      </c>
    </row>
    <row r="42" spans="1:28">
      <c r="A42" s="808" t="s">
        <v>486</v>
      </c>
      <c r="B42" s="1308">
        <v>208610</v>
      </c>
      <c r="C42" s="1320"/>
      <c r="D42" s="1308">
        <v>332413</v>
      </c>
      <c r="E42" s="1313"/>
      <c r="F42" s="1308">
        <v>483018</v>
      </c>
      <c r="G42" s="1313"/>
      <c r="H42" s="1308">
        <v>119290</v>
      </c>
      <c r="I42" s="1313"/>
      <c r="J42" s="1308">
        <v>391627</v>
      </c>
      <c r="K42" s="1313"/>
      <c r="L42" s="1308">
        <v>320003</v>
      </c>
      <c r="M42" s="1315"/>
      <c r="N42" s="1308">
        <v>320003</v>
      </c>
      <c r="O42" s="1313"/>
      <c r="P42" s="1313">
        <v>346620</v>
      </c>
      <c r="Q42" s="1313"/>
      <c r="R42" s="1313">
        <v>438812</v>
      </c>
      <c r="S42" s="1313"/>
      <c r="T42" s="1313">
        <f t="shared" si="2"/>
        <v>175423</v>
      </c>
      <c r="U42" s="1313"/>
      <c r="V42" s="1313"/>
      <c r="W42" s="1313"/>
      <c r="X42" s="1313"/>
      <c r="Y42" s="1313"/>
      <c r="Z42" s="1313">
        <v>3135819</v>
      </c>
    </row>
    <row r="43" spans="1:28" ht="15.6">
      <c r="A43" s="506" t="s">
        <v>487</v>
      </c>
      <c r="B43" s="1848">
        <f>ROUND(SUM(B36:B42),0)</f>
        <v>535501</v>
      </c>
      <c r="C43" s="1311"/>
      <c r="D43" s="1848">
        <f>ROUND(SUM(D36:D42),0)</f>
        <v>333517</v>
      </c>
      <c r="E43" s="1308"/>
      <c r="F43" s="1848">
        <f>ROUND(SUM(F36:F42),0)</f>
        <v>1425340</v>
      </c>
      <c r="G43" s="1308"/>
      <c r="H43" s="1848">
        <f>ROUND(SUM(H36:H42),0)</f>
        <v>6348461</v>
      </c>
      <c r="I43" s="1313"/>
      <c r="J43" s="1753">
        <f>ROUND(SUM(J36:J42),0)</f>
        <v>391627</v>
      </c>
      <c r="K43" s="1313"/>
      <c r="L43" s="1753">
        <f>ROUND(SUM(L36:L42),0)</f>
        <v>320003</v>
      </c>
      <c r="M43" s="1315"/>
      <c r="N43" s="1753">
        <f>ROUND(SUM(N36:N42),0)</f>
        <v>325924</v>
      </c>
      <c r="O43" s="1313"/>
      <c r="P43" s="1753">
        <f>ROUND(SUM(P36:P42),0)</f>
        <v>-5116180</v>
      </c>
      <c r="Q43" s="1313"/>
      <c r="R43" s="1753">
        <f>ROUND(SUM(R36:R42),0)</f>
        <v>3743370</v>
      </c>
      <c r="S43" s="1313"/>
      <c r="T43" s="1753">
        <f>ROUND(SUM(T36:T42),0)</f>
        <v>2176614</v>
      </c>
      <c r="U43" s="1313"/>
      <c r="V43" s="1753">
        <f>ROUND(SUM(V36:V42),0)</f>
        <v>0</v>
      </c>
      <c r="W43" s="1313"/>
      <c r="X43" s="1753">
        <f>ROUND(SUM(X36:X42),0)</f>
        <v>0</v>
      </c>
      <c r="Y43" s="1313"/>
      <c r="Z43" s="1754">
        <f>ROUND(SUM(Z36:Z42),0)</f>
        <v>10484177</v>
      </c>
    </row>
    <row r="44" spans="1:28">
      <c r="B44" s="1849"/>
      <c r="C44" s="1311"/>
      <c r="D44" s="1849"/>
      <c r="E44" s="1308"/>
      <c r="F44" s="1850"/>
      <c r="G44" s="1308"/>
      <c r="H44" s="1849"/>
      <c r="I44" s="1313"/>
      <c r="J44" s="1755"/>
      <c r="K44" s="1313"/>
      <c r="L44" s="1755"/>
      <c r="M44" s="1315"/>
      <c r="N44" s="1755"/>
      <c r="O44" s="1313"/>
      <c r="P44" s="1755"/>
      <c r="Q44" s="1313"/>
      <c r="R44" s="1755"/>
      <c r="S44" s="1313"/>
      <c r="T44" s="1755"/>
      <c r="U44" s="1313"/>
      <c r="V44" s="1755"/>
      <c r="W44" s="1313"/>
      <c r="X44" s="1755"/>
      <c r="Y44" s="1313"/>
      <c r="Z44" s="1756"/>
    </row>
    <row r="45" spans="1:28" s="1744" customFormat="1" ht="15.6">
      <c r="A45" s="506" t="s">
        <v>488</v>
      </c>
      <c r="B45" s="1322">
        <f>ROUND(B33+B43,0)</f>
        <v>392363424</v>
      </c>
      <c r="C45" s="502"/>
      <c r="D45" s="1322">
        <f>ROUND(D33+D43,0)</f>
        <v>479903083</v>
      </c>
      <c r="E45" s="503"/>
      <c r="F45" s="1322">
        <f>ROUND(F33+F43,0)</f>
        <v>547024588</v>
      </c>
      <c r="G45" s="503"/>
      <c r="H45" s="1322">
        <f>ROUND(H33+H43,0)</f>
        <v>441069259</v>
      </c>
      <c r="I45" s="1749"/>
      <c r="J45" s="1757">
        <f>ROUND(J33+J43,0)</f>
        <v>533035718</v>
      </c>
      <c r="K45" s="505"/>
      <c r="L45" s="1757">
        <f>ROUND(L33+L43,0)</f>
        <v>522913706</v>
      </c>
      <c r="M45" s="508"/>
      <c r="N45" s="1757">
        <f>ROUND(N33+N43,0)</f>
        <v>507233437</v>
      </c>
      <c r="O45" s="1749"/>
      <c r="P45" s="1757">
        <f>ROUND(P33+P43,0)</f>
        <v>658646933</v>
      </c>
      <c r="Q45" s="1749"/>
      <c r="R45" s="1757">
        <f>ROUND(R33+R43,0)</f>
        <v>484378802</v>
      </c>
      <c r="S45" s="1749"/>
      <c r="T45" s="1757">
        <f>ROUND(T33+T43,0)</f>
        <v>463596219</v>
      </c>
      <c r="U45" s="1749"/>
      <c r="V45" s="1757">
        <f>ROUND(V33+V43,0)</f>
        <v>0</v>
      </c>
      <c r="W45" s="1749"/>
      <c r="X45" s="1757">
        <f>ROUND(X33+X43,0)</f>
        <v>0</v>
      </c>
      <c r="Y45" s="1749"/>
      <c r="Z45" s="1757">
        <f>ROUND(Z33+Z43,0)</f>
        <v>5030165169</v>
      </c>
      <c r="AA45" s="3384"/>
      <c r="AB45" s="1750"/>
    </row>
    <row r="46" spans="1:28">
      <c r="A46" s="1745"/>
      <c r="B46" s="1306"/>
      <c r="C46" s="1306"/>
      <c r="D46" s="1306"/>
      <c r="E46" s="1305"/>
      <c r="F46" s="1306"/>
      <c r="G46" s="1305"/>
      <c r="H46" s="1306"/>
      <c r="I46" s="1315"/>
      <c r="J46" s="1746"/>
      <c r="K46" s="1746"/>
      <c r="L46" s="1746"/>
      <c r="M46" s="1315"/>
      <c r="N46" s="1746"/>
      <c r="O46" s="1315"/>
      <c r="P46" s="1746"/>
      <c r="Q46" s="1315"/>
      <c r="R46" s="1746"/>
      <c r="S46" s="1315"/>
      <c r="T46" s="1746"/>
      <c r="U46" s="1315"/>
      <c r="V46" s="1746"/>
      <c r="W46" s="1315"/>
      <c r="X46" s="1746"/>
      <c r="Y46" s="1315"/>
      <c r="Z46" s="1758"/>
    </row>
    <row r="47" spans="1:28" s="1744" customFormat="1" ht="16.2" thickBot="1">
      <c r="A47" s="507" t="s">
        <v>489</v>
      </c>
      <c r="B47" s="1546">
        <f>ROUND(B12+B25-B45,0)</f>
        <v>114747009</v>
      </c>
      <c r="C47" s="497"/>
      <c r="D47" s="1546">
        <f>ROUND(D12+D25-D45,0)</f>
        <v>145654657</v>
      </c>
      <c r="E47" s="1303"/>
      <c r="F47" s="1546">
        <f>ROUND(F12+F25-F45,0)</f>
        <v>159720053</v>
      </c>
      <c r="G47" s="1303"/>
      <c r="H47" s="1546">
        <f>ROUND(H12+H25-H45,0)</f>
        <v>245054517</v>
      </c>
      <c r="I47" s="1743"/>
      <c r="J47" s="1759">
        <f>ROUND(J12+J25-J45,0)</f>
        <v>236162456</v>
      </c>
      <c r="K47" s="498"/>
      <c r="L47" s="1759">
        <f>ROUND(L12+L25-L45,0)</f>
        <v>248383918</v>
      </c>
      <c r="M47" s="508"/>
      <c r="N47" s="1759">
        <f>ROUND(N12+N25-N45,0)</f>
        <v>252474319</v>
      </c>
      <c r="O47" s="509"/>
      <c r="P47" s="1759">
        <f>ROUND(P12+P25-P45,0)</f>
        <v>111489568</v>
      </c>
      <c r="Q47" s="509"/>
      <c r="R47" s="1759">
        <f>ROUND(R12+R25-R45,0)</f>
        <v>180007607</v>
      </c>
      <c r="S47" s="509"/>
      <c r="T47" s="1759">
        <f>ROUND(T12+T25-T45,0)</f>
        <v>191009026</v>
      </c>
      <c r="U47" s="509"/>
      <c r="V47" s="1759">
        <f>ROUND(V12+V25-V45,0)</f>
        <v>0</v>
      </c>
      <c r="W47" s="509"/>
      <c r="X47" s="1759">
        <f>ROUND(X12+X25-X45,0)</f>
        <v>0</v>
      </c>
      <c r="Y47" s="509"/>
      <c r="Z47" s="2957">
        <f>ROUND(Z12+Z25-Z45,0)</f>
        <v>191009026</v>
      </c>
      <c r="AA47" s="3384"/>
    </row>
    <row r="48" spans="1:28" ht="15.6" thickTop="1">
      <c r="A48" s="1745"/>
      <c r="B48" s="1301"/>
      <c r="C48" s="1301"/>
      <c r="D48" s="1301"/>
      <c r="E48" s="1324"/>
      <c r="F48" s="1301"/>
      <c r="G48" s="1324"/>
      <c r="H48" s="1301"/>
      <c r="I48" s="1760"/>
      <c r="J48" s="1739"/>
      <c r="K48" s="1739"/>
      <c r="L48" s="1739"/>
      <c r="M48" s="1760"/>
      <c r="N48" s="1739"/>
      <c r="O48" s="1760"/>
      <c r="P48" s="1739"/>
      <c r="Q48" s="1760"/>
      <c r="R48" s="1739"/>
      <c r="S48" s="1760"/>
      <c r="T48" s="1739"/>
      <c r="U48" s="1760"/>
      <c r="V48" s="1739"/>
      <c r="W48" s="1760"/>
      <c r="X48" s="1739"/>
      <c r="Y48" s="1760"/>
      <c r="Z48" s="1758"/>
    </row>
    <row r="49" spans="1:26">
      <c r="A49" s="1761"/>
      <c r="B49" s="1325"/>
      <c r="C49" s="1325"/>
      <c r="D49" s="1325"/>
      <c r="E49" s="1302"/>
      <c r="F49" s="1325"/>
      <c r="G49" s="1302"/>
      <c r="H49" s="1325"/>
      <c r="I49" s="1740"/>
      <c r="J49" s="1762"/>
      <c r="K49" s="1762"/>
      <c r="L49" s="1762"/>
      <c r="M49" s="1740"/>
      <c r="N49" s="1762"/>
      <c r="O49" s="1740"/>
      <c r="P49" s="1762"/>
      <c r="Q49" s="1740"/>
      <c r="R49" s="1762"/>
      <c r="S49" s="1740"/>
      <c r="T49" s="1762"/>
      <c r="U49" s="1740"/>
      <c r="V49" s="1762"/>
      <c r="W49" s="1740"/>
      <c r="X49" s="1762"/>
      <c r="Y49" s="1740"/>
      <c r="Z49" s="1744"/>
    </row>
    <row r="51" spans="1:26" ht="17.399999999999999">
      <c r="A51" s="1763"/>
      <c r="B51" s="1297"/>
      <c r="C51" s="1297"/>
      <c r="D51" s="1297"/>
      <c r="E51" s="478"/>
      <c r="F51" s="1297"/>
      <c r="G51" s="478"/>
      <c r="H51" s="1297"/>
      <c r="I51" s="1718"/>
      <c r="J51" s="1722"/>
      <c r="K51" s="1722"/>
      <c r="L51" s="1722"/>
      <c r="M51" s="1740"/>
      <c r="N51" s="1722"/>
      <c r="O51" s="1718"/>
      <c r="P51" s="1722"/>
      <c r="Q51" s="1718"/>
      <c r="R51" s="1722"/>
      <c r="S51" s="1718"/>
      <c r="T51" s="1722"/>
      <c r="U51" s="1718"/>
      <c r="V51" s="1722"/>
      <c r="W51" s="1718"/>
      <c r="X51" s="1722"/>
      <c r="Y51" s="1718"/>
      <c r="Z51" s="1724"/>
    </row>
    <row r="52" spans="1:26">
      <c r="A52" s="1732"/>
      <c r="B52" s="1325"/>
      <c r="C52" s="1325"/>
      <c r="D52" s="1325"/>
      <c r="E52" s="1302"/>
      <c r="F52" s="1325"/>
      <c r="G52" s="1302"/>
      <c r="H52" s="1325"/>
      <c r="I52" s="1740"/>
      <c r="J52" s="1762"/>
      <c r="K52" s="1762"/>
      <c r="L52" s="1762"/>
      <c r="M52" s="1740"/>
      <c r="N52" s="1762"/>
      <c r="O52" s="1740"/>
      <c r="P52" s="1762"/>
      <c r="Q52" s="1740"/>
      <c r="R52" s="1762"/>
      <c r="S52" s="1740"/>
      <c r="T52" s="1762"/>
      <c r="U52" s="1740"/>
      <c r="V52" s="1762"/>
      <c r="W52" s="1740"/>
      <c r="X52" s="1762"/>
      <c r="Y52" s="1740"/>
      <c r="Z52" s="1747"/>
    </row>
    <row r="53" spans="1:26">
      <c r="A53" s="1732"/>
      <c r="B53" s="1325"/>
      <c r="C53" s="1325"/>
      <c r="D53" s="1325"/>
      <c r="E53" s="1302"/>
      <c r="F53" s="1325"/>
      <c r="G53" s="1302"/>
      <c r="H53" s="1325"/>
      <c r="I53" s="1740"/>
      <c r="J53" s="1762"/>
      <c r="K53" s="1762"/>
      <c r="L53" s="1762"/>
      <c r="M53" s="1740"/>
      <c r="N53" s="1762"/>
      <c r="O53" s="1740"/>
      <c r="P53" s="1762"/>
      <c r="Q53" s="1740"/>
      <c r="R53" s="1762"/>
      <c r="S53" s="1740"/>
      <c r="T53" s="1762"/>
      <c r="U53" s="1740"/>
      <c r="V53" s="1762"/>
      <c r="W53" s="1740"/>
      <c r="X53" s="1762"/>
      <c r="Y53" s="1740"/>
      <c r="Z53" s="1747"/>
    </row>
    <row r="54" spans="1:26">
      <c r="A54" s="1729"/>
      <c r="B54" s="477"/>
      <c r="C54" s="477"/>
      <c r="D54" s="477"/>
      <c r="E54" s="478"/>
      <c r="F54" s="477"/>
      <c r="G54" s="478"/>
      <c r="H54" s="477"/>
      <c r="I54" s="1718"/>
      <c r="J54" s="1717"/>
      <c r="K54" s="1717"/>
      <c r="L54" s="1717"/>
      <c r="M54" s="1718"/>
      <c r="N54" s="1717"/>
      <c r="O54" s="1718"/>
      <c r="P54" s="1717"/>
      <c r="Q54" s="1718"/>
      <c r="R54" s="1717"/>
      <c r="S54" s="1718"/>
      <c r="T54" s="1717"/>
      <c r="U54" s="1718"/>
      <c r="V54" s="1717"/>
      <c r="W54" s="1718"/>
      <c r="X54" s="1717"/>
      <c r="Y54" s="1718"/>
      <c r="Z54" s="1764"/>
    </row>
    <row r="55" spans="1:26">
      <c r="A55" s="1729"/>
      <c r="B55" s="477"/>
      <c r="C55" s="477"/>
      <c r="D55" s="477"/>
      <c r="E55" s="478"/>
      <c r="F55" s="477"/>
      <c r="G55" s="478"/>
      <c r="H55" s="477"/>
      <c r="I55" s="1718"/>
      <c r="J55" s="1717"/>
      <c r="K55" s="1717"/>
      <c r="L55" s="1717"/>
      <c r="M55" s="1718"/>
      <c r="N55" s="1717"/>
      <c r="O55" s="1718"/>
      <c r="P55" s="1717"/>
      <c r="Q55" s="1718"/>
      <c r="R55" s="1717"/>
      <c r="S55" s="1718"/>
      <c r="T55" s="1717"/>
      <c r="U55" s="1718"/>
      <c r="V55" s="1717"/>
      <c r="W55" s="1718"/>
      <c r="X55" s="1717"/>
      <c r="Y55" s="1718"/>
      <c r="Z55" s="1764"/>
    </row>
    <row r="56" spans="1:26">
      <c r="A56" s="1729"/>
      <c r="B56" s="477"/>
      <c r="C56" s="477"/>
      <c r="D56" s="477"/>
      <c r="E56" s="478"/>
      <c r="F56" s="477"/>
      <c r="G56" s="478"/>
      <c r="H56" s="477"/>
      <c r="I56" s="1718"/>
      <c r="J56" s="1717"/>
      <c r="K56" s="1717"/>
      <c r="L56" s="1717"/>
      <c r="M56" s="1718"/>
      <c r="N56" s="1717"/>
      <c r="O56" s="1718"/>
      <c r="P56" s="1717"/>
      <c r="Q56" s="1718"/>
      <c r="R56" s="1717"/>
      <c r="S56" s="1718"/>
      <c r="T56" s="1717"/>
      <c r="U56" s="1718"/>
      <c r="V56" s="1717"/>
      <c r="W56" s="1718"/>
      <c r="X56" s="1717"/>
      <c r="Y56" s="1718"/>
      <c r="Z56" s="1764"/>
    </row>
    <row r="57" spans="1:26">
      <c r="A57" s="1729"/>
      <c r="B57" s="477"/>
      <c r="C57" s="477"/>
      <c r="D57" s="477"/>
      <c r="E57" s="478"/>
      <c r="F57" s="477"/>
      <c r="G57" s="478"/>
      <c r="H57" s="477"/>
      <c r="I57" s="1718"/>
      <c r="J57" s="1717"/>
      <c r="K57" s="1717"/>
      <c r="L57" s="1717"/>
      <c r="M57" s="1718"/>
      <c r="N57" s="1717"/>
      <c r="O57" s="1718"/>
      <c r="P57" s="1717"/>
      <c r="Q57" s="1718"/>
      <c r="R57" s="1717"/>
      <c r="S57" s="1718"/>
      <c r="T57" s="1717"/>
      <c r="U57" s="1718"/>
      <c r="V57" s="1717"/>
      <c r="W57" s="1718"/>
      <c r="X57" s="1717"/>
      <c r="Y57" s="1718"/>
      <c r="Z57" s="1764"/>
    </row>
    <row r="58" spans="1:26">
      <c r="A58" s="1729"/>
      <c r="B58" s="477"/>
      <c r="C58" s="477"/>
      <c r="D58" s="477"/>
      <c r="E58" s="478"/>
      <c r="F58" s="477"/>
      <c r="G58" s="478"/>
      <c r="H58" s="477"/>
      <c r="I58" s="1718"/>
      <c r="J58" s="1717"/>
      <c r="K58" s="1717"/>
      <c r="L58" s="1717"/>
      <c r="M58" s="1718"/>
      <c r="N58" s="1717"/>
      <c r="O58" s="1718"/>
      <c r="P58" s="1717"/>
      <c r="Q58" s="1718"/>
      <c r="R58" s="1717"/>
      <c r="S58" s="1718"/>
      <c r="T58" s="1717"/>
      <c r="U58" s="1718"/>
      <c r="V58" s="1717"/>
      <c r="W58" s="1718"/>
      <c r="X58" s="1717"/>
      <c r="Y58" s="1718"/>
      <c r="Z58" s="1764"/>
    </row>
    <row r="59" spans="1:26">
      <c r="A59" s="1729"/>
      <c r="B59" s="477"/>
      <c r="C59" s="477"/>
      <c r="D59" s="477"/>
      <c r="E59" s="478"/>
      <c r="F59" s="477"/>
      <c r="G59" s="478"/>
      <c r="H59" s="477"/>
      <c r="I59" s="1718"/>
      <c r="J59" s="1717"/>
      <c r="K59" s="1717"/>
      <c r="L59" s="1717"/>
      <c r="M59" s="1718"/>
      <c r="N59" s="1717"/>
      <c r="O59" s="1718"/>
      <c r="P59" s="1717"/>
      <c r="Q59" s="1718"/>
      <c r="R59" s="1717"/>
      <c r="S59" s="1718"/>
      <c r="T59" s="1717"/>
      <c r="U59" s="1718"/>
      <c r="V59" s="1717"/>
      <c r="W59" s="1718"/>
      <c r="X59" s="1717"/>
      <c r="Y59" s="1718"/>
      <c r="Z59" s="1764"/>
    </row>
    <row r="60" spans="1:26">
      <c r="A60" s="1729"/>
      <c r="B60" s="477"/>
      <c r="C60" s="477"/>
      <c r="D60" s="477"/>
      <c r="E60" s="478"/>
      <c r="F60" s="477"/>
      <c r="G60" s="478"/>
      <c r="H60" s="477"/>
      <c r="I60" s="1718"/>
      <c r="J60" s="1717"/>
      <c r="K60" s="1717"/>
      <c r="L60" s="1717"/>
      <c r="M60" s="1718"/>
      <c r="N60" s="1717"/>
      <c r="O60" s="1718"/>
      <c r="P60" s="1717"/>
      <c r="Q60" s="1718"/>
      <c r="R60" s="1717"/>
      <c r="S60" s="1718"/>
      <c r="T60" s="1717"/>
      <c r="U60" s="1718"/>
      <c r="V60" s="1717"/>
      <c r="W60" s="1718"/>
      <c r="X60" s="1717"/>
      <c r="Y60" s="1718"/>
      <c r="Z60" s="1764"/>
    </row>
    <row r="61" spans="1:26">
      <c r="A61" s="1729"/>
      <c r="B61" s="477"/>
      <c r="C61" s="477"/>
      <c r="D61" s="477"/>
      <c r="E61" s="478"/>
      <c r="F61" s="477"/>
      <c r="G61" s="478"/>
      <c r="H61" s="477"/>
      <c r="I61" s="1718"/>
      <c r="J61" s="1717"/>
      <c r="K61" s="1717"/>
      <c r="L61" s="1717"/>
      <c r="M61" s="1718"/>
      <c r="N61" s="1717"/>
      <c r="O61" s="1718"/>
      <c r="P61" s="1717"/>
      <c r="Q61" s="1718"/>
      <c r="R61" s="1717"/>
      <c r="S61" s="1718"/>
      <c r="T61" s="1717"/>
      <c r="U61" s="1718"/>
      <c r="V61" s="1717"/>
      <c r="W61" s="1718"/>
      <c r="X61" s="1717"/>
      <c r="Y61" s="1718"/>
      <c r="Z61" s="1764"/>
    </row>
    <row r="62" spans="1:26">
      <c r="A62" s="1729"/>
      <c r="B62" s="477"/>
      <c r="C62" s="477"/>
      <c r="D62" s="477"/>
      <c r="E62" s="478"/>
      <c r="F62" s="477"/>
      <c r="G62" s="478"/>
      <c r="H62" s="477"/>
      <c r="I62" s="1718"/>
      <c r="J62" s="1717"/>
      <c r="K62" s="1717"/>
      <c r="L62" s="1717"/>
      <c r="M62" s="1718"/>
      <c r="N62" s="1717"/>
      <c r="O62" s="1718"/>
      <c r="P62" s="1717"/>
      <c r="Q62" s="1718"/>
      <c r="R62" s="1717"/>
      <c r="S62" s="1718"/>
      <c r="T62" s="1717"/>
      <c r="U62" s="1718"/>
      <c r="V62" s="1717"/>
      <c r="W62" s="1718"/>
      <c r="X62" s="1717"/>
      <c r="Y62" s="1718"/>
      <c r="Z62" s="1764"/>
    </row>
    <row r="63" spans="1:26">
      <c r="A63" s="1729"/>
      <c r="B63" s="477"/>
      <c r="C63" s="477"/>
      <c r="D63" s="477"/>
      <c r="E63" s="478"/>
      <c r="F63" s="477"/>
      <c r="G63" s="478"/>
      <c r="H63" s="477"/>
      <c r="I63" s="1718"/>
      <c r="J63" s="1717"/>
      <c r="K63" s="1717"/>
      <c r="L63" s="1717"/>
      <c r="M63" s="1718"/>
      <c r="N63" s="1717"/>
      <c r="O63" s="1718"/>
      <c r="P63" s="1717"/>
      <c r="Q63" s="1718"/>
      <c r="R63" s="1717"/>
      <c r="S63" s="1718"/>
      <c r="T63" s="1717"/>
      <c r="U63" s="1718"/>
      <c r="V63" s="1717"/>
      <c r="W63" s="1718"/>
      <c r="X63" s="1717"/>
      <c r="Y63" s="1718"/>
      <c r="Z63" s="1764"/>
    </row>
    <row r="64" spans="1:26">
      <c r="A64" s="1729"/>
      <c r="B64" s="477"/>
      <c r="C64" s="477"/>
      <c r="D64" s="477"/>
      <c r="E64" s="478"/>
      <c r="F64" s="477"/>
      <c r="G64" s="478"/>
      <c r="H64" s="477"/>
      <c r="I64" s="1718"/>
      <c r="J64" s="1717"/>
      <c r="K64" s="1717"/>
      <c r="L64" s="1717"/>
      <c r="M64" s="1718"/>
      <c r="N64" s="1717"/>
      <c r="O64" s="1718"/>
      <c r="P64" s="1717"/>
      <c r="Q64" s="1718"/>
      <c r="R64" s="1717"/>
      <c r="S64" s="1718"/>
      <c r="T64" s="1717"/>
      <c r="U64" s="1718"/>
      <c r="V64" s="1717"/>
      <c r="W64" s="1718"/>
      <c r="X64" s="1717"/>
      <c r="Y64" s="1718"/>
      <c r="Z64" s="1764"/>
    </row>
    <row r="65" spans="1:26">
      <c r="A65" s="1729"/>
      <c r="B65" s="477"/>
      <c r="C65" s="477"/>
      <c r="D65" s="477"/>
      <c r="E65" s="478"/>
      <c r="F65" s="477"/>
      <c r="G65" s="478"/>
      <c r="H65" s="477"/>
      <c r="I65" s="1718"/>
      <c r="J65" s="1717"/>
      <c r="K65" s="1717"/>
      <c r="L65" s="1717"/>
      <c r="M65" s="1718"/>
      <c r="N65" s="1717"/>
      <c r="O65" s="1718"/>
      <c r="P65" s="1717"/>
      <c r="Q65" s="1718"/>
      <c r="R65" s="1717"/>
      <c r="S65" s="1718"/>
      <c r="T65" s="1717"/>
      <c r="U65" s="1718"/>
      <c r="V65" s="1717"/>
      <c r="W65" s="1718"/>
      <c r="X65" s="1717"/>
      <c r="Y65" s="1718"/>
      <c r="Z65" s="1764"/>
    </row>
    <row r="66" spans="1:26">
      <c r="A66" s="1729"/>
      <c r="B66" s="477"/>
      <c r="C66" s="477"/>
      <c r="D66" s="477"/>
      <c r="E66" s="478"/>
      <c r="F66" s="477"/>
      <c r="G66" s="478"/>
      <c r="H66" s="477"/>
      <c r="I66" s="1718"/>
      <c r="J66" s="1717"/>
      <c r="K66" s="1717"/>
      <c r="L66" s="1717"/>
      <c r="M66" s="1718"/>
      <c r="N66" s="1717"/>
      <c r="O66" s="1718"/>
      <c r="P66" s="1717"/>
      <c r="Q66" s="1718"/>
      <c r="R66" s="1717"/>
      <c r="S66" s="1718"/>
      <c r="T66" s="1717"/>
      <c r="U66" s="1718"/>
      <c r="V66" s="1717"/>
      <c r="W66" s="1718"/>
      <c r="X66" s="1717"/>
      <c r="Y66" s="1718"/>
      <c r="Z66" s="1764"/>
    </row>
    <row r="67" spans="1:26">
      <c r="A67" s="1729"/>
      <c r="B67" s="477"/>
      <c r="C67" s="477"/>
      <c r="D67" s="477"/>
      <c r="E67" s="478"/>
      <c r="F67" s="477"/>
      <c r="G67" s="478"/>
      <c r="H67" s="477"/>
      <c r="I67" s="1718"/>
      <c r="J67" s="1717"/>
      <c r="K67" s="1717"/>
      <c r="L67" s="1717"/>
      <c r="M67" s="1718"/>
      <c r="N67" s="1717"/>
      <c r="O67" s="1718"/>
      <c r="P67" s="1717"/>
      <c r="Q67" s="1718"/>
      <c r="R67" s="1717"/>
      <c r="S67" s="1718"/>
      <c r="T67" s="1717"/>
      <c r="U67" s="1718"/>
      <c r="V67" s="1717"/>
      <c r="W67" s="1718"/>
      <c r="X67" s="1717"/>
      <c r="Y67" s="1718"/>
      <c r="Z67" s="1764"/>
    </row>
    <row r="68" spans="1:26">
      <c r="A68" s="1729"/>
      <c r="B68" s="477"/>
      <c r="C68" s="477"/>
      <c r="D68" s="477"/>
      <c r="E68" s="478"/>
      <c r="F68" s="477"/>
      <c r="G68" s="478"/>
      <c r="H68" s="477"/>
      <c r="I68" s="1718"/>
      <c r="J68" s="1717"/>
      <c r="K68" s="1717"/>
      <c r="L68" s="1717"/>
      <c r="M68" s="1718"/>
      <c r="N68" s="1717"/>
      <c r="O68" s="1718"/>
      <c r="P68" s="1717"/>
      <c r="Q68" s="1718"/>
      <c r="R68" s="1717"/>
      <c r="S68" s="1718"/>
      <c r="T68" s="1717"/>
      <c r="U68" s="1718"/>
      <c r="V68" s="1717"/>
      <c r="W68" s="1718"/>
      <c r="X68" s="1717"/>
      <c r="Y68" s="1718"/>
      <c r="Z68" s="1764"/>
    </row>
    <row r="69" spans="1:26">
      <c r="A69" s="1729"/>
      <c r="B69" s="477"/>
      <c r="C69" s="477"/>
      <c r="D69" s="477"/>
      <c r="E69" s="478"/>
      <c r="F69" s="477"/>
      <c r="G69" s="478"/>
      <c r="H69" s="477"/>
      <c r="I69" s="1718"/>
      <c r="J69" s="1717"/>
      <c r="K69" s="1717"/>
      <c r="L69" s="1717"/>
      <c r="M69" s="1718"/>
      <c r="N69" s="1717"/>
      <c r="O69" s="1718"/>
      <c r="P69" s="1717"/>
      <c r="Q69" s="1718"/>
      <c r="R69" s="1717"/>
      <c r="S69" s="1718"/>
      <c r="T69" s="1717"/>
      <c r="U69" s="1718"/>
      <c r="V69" s="1717"/>
      <c r="W69" s="1718"/>
      <c r="X69" s="1717"/>
      <c r="Y69" s="1718"/>
      <c r="Z69" s="1764"/>
    </row>
    <row r="70" spans="1:26">
      <c r="A70" s="1729"/>
      <c r="B70" s="477"/>
      <c r="C70" s="477"/>
      <c r="D70" s="477"/>
      <c r="E70" s="478"/>
      <c r="F70" s="477"/>
      <c r="G70" s="478"/>
      <c r="H70" s="477"/>
      <c r="I70" s="1718"/>
      <c r="J70" s="1717"/>
      <c r="K70" s="1717"/>
      <c r="L70" s="1717"/>
      <c r="M70" s="1718"/>
      <c r="N70" s="1717"/>
      <c r="O70" s="1718"/>
      <c r="P70" s="1717"/>
      <c r="Q70" s="1718"/>
      <c r="R70" s="1717"/>
      <c r="S70" s="1718"/>
      <c r="T70" s="1717"/>
      <c r="U70" s="1718"/>
      <c r="V70" s="1717"/>
      <c r="W70" s="1718"/>
      <c r="X70" s="1717"/>
      <c r="Y70" s="1718"/>
      <c r="Z70" s="1764"/>
    </row>
    <row r="71" spans="1:26">
      <c r="A71" s="1729"/>
      <c r="B71" s="477"/>
      <c r="C71" s="477"/>
      <c r="D71" s="477"/>
      <c r="E71" s="478"/>
      <c r="F71" s="477"/>
      <c r="G71" s="478"/>
      <c r="H71" s="477"/>
      <c r="I71" s="1718"/>
      <c r="J71" s="1717"/>
      <c r="K71" s="1717"/>
      <c r="L71" s="1717"/>
      <c r="M71" s="1718"/>
      <c r="N71" s="1717"/>
      <c r="O71" s="1718"/>
      <c r="P71" s="1717"/>
      <c r="Q71" s="1718"/>
      <c r="R71" s="1717"/>
      <c r="S71" s="1718"/>
      <c r="T71" s="1717"/>
      <c r="U71" s="1718"/>
      <c r="V71" s="1717"/>
      <c r="W71" s="1718"/>
      <c r="X71" s="1717"/>
      <c r="Y71" s="1718"/>
      <c r="Z71" s="1764"/>
    </row>
    <row r="72" spans="1:26">
      <c r="A72" s="1729"/>
      <c r="B72" s="477"/>
      <c r="C72" s="477"/>
      <c r="D72" s="477"/>
      <c r="E72" s="478"/>
      <c r="F72" s="477"/>
      <c r="G72" s="478"/>
      <c r="H72" s="477"/>
      <c r="I72" s="1718"/>
      <c r="J72" s="1717"/>
      <c r="K72" s="1717"/>
      <c r="L72" s="1717"/>
      <c r="M72" s="1718"/>
      <c r="N72" s="1717"/>
      <c r="O72" s="1718"/>
      <c r="P72" s="1717"/>
      <c r="Q72" s="1718"/>
      <c r="R72" s="1717"/>
      <c r="S72" s="1718"/>
      <c r="T72" s="1717"/>
      <c r="U72" s="1718"/>
      <c r="V72" s="1717"/>
      <c r="W72" s="1718"/>
      <c r="X72" s="1717"/>
      <c r="Y72" s="1718"/>
      <c r="Z72" s="1764"/>
    </row>
    <row r="73" spans="1:26">
      <c r="A73" s="1729"/>
      <c r="B73" s="477"/>
      <c r="C73" s="477"/>
      <c r="D73" s="477"/>
      <c r="E73" s="478"/>
      <c r="F73" s="477"/>
      <c r="G73" s="478"/>
      <c r="H73" s="477"/>
      <c r="I73" s="1718"/>
      <c r="J73" s="1717"/>
      <c r="K73" s="1717"/>
      <c r="L73" s="1717"/>
      <c r="M73" s="1718"/>
      <c r="N73" s="1717"/>
      <c r="O73" s="1718"/>
      <c r="P73" s="1717"/>
      <c r="Q73" s="1718"/>
      <c r="R73" s="1717"/>
      <c r="S73" s="1718"/>
      <c r="T73" s="1717"/>
      <c r="U73" s="1718"/>
      <c r="V73" s="1717"/>
      <c r="W73" s="1718"/>
      <c r="X73" s="1717"/>
      <c r="Y73" s="1718"/>
      <c r="Z73" s="1764"/>
    </row>
    <row r="74" spans="1:26">
      <c r="A74" s="1729"/>
      <c r="B74" s="477"/>
      <c r="C74" s="477"/>
      <c r="D74" s="477"/>
      <c r="E74" s="478"/>
      <c r="F74" s="477"/>
      <c r="G74" s="478"/>
      <c r="H74" s="477"/>
      <c r="I74" s="1718"/>
      <c r="J74" s="1717"/>
      <c r="K74" s="1717"/>
      <c r="L74" s="1717"/>
      <c r="M74" s="1718"/>
      <c r="N74" s="1717"/>
      <c r="O74" s="1718"/>
      <c r="P74" s="1717"/>
      <c r="Q74" s="1718"/>
      <c r="R74" s="1717"/>
      <c r="S74" s="1718"/>
      <c r="T74" s="1717"/>
      <c r="U74" s="1718"/>
      <c r="V74" s="1717"/>
      <c r="W74" s="1718"/>
      <c r="X74" s="1717"/>
      <c r="Y74" s="1718"/>
      <c r="Z74" s="1764"/>
    </row>
    <row r="75" spans="1:26">
      <c r="A75" s="1729"/>
      <c r="B75" s="477"/>
      <c r="C75" s="477"/>
      <c r="D75" s="477"/>
      <c r="E75" s="478"/>
      <c r="F75" s="477"/>
      <c r="G75" s="478"/>
      <c r="H75" s="477"/>
      <c r="I75" s="1718"/>
      <c r="J75" s="1717"/>
      <c r="K75" s="1717"/>
      <c r="L75" s="1717"/>
      <c r="M75" s="1718"/>
      <c r="N75" s="1717"/>
      <c r="O75" s="1718"/>
      <c r="P75" s="1717"/>
      <c r="Q75" s="1718"/>
      <c r="R75" s="1717"/>
      <c r="S75" s="1718"/>
      <c r="T75" s="1717"/>
      <c r="U75" s="1718"/>
      <c r="V75" s="1717"/>
      <c r="W75" s="1718"/>
      <c r="X75" s="1717"/>
      <c r="Y75" s="1718"/>
      <c r="Z75" s="1764"/>
    </row>
    <row r="76" spans="1:26">
      <c r="A76" s="1729"/>
      <c r="B76" s="477"/>
      <c r="C76" s="477"/>
      <c r="D76" s="477"/>
      <c r="E76" s="478"/>
      <c r="F76" s="477"/>
      <c r="G76" s="478"/>
      <c r="H76" s="477"/>
      <c r="I76" s="1718"/>
      <c r="J76" s="1717"/>
      <c r="K76" s="1717"/>
      <c r="L76" s="1717"/>
      <c r="M76" s="1718"/>
      <c r="N76" s="1717"/>
      <c r="O76" s="1718"/>
      <c r="P76" s="1717"/>
      <c r="Q76" s="1718"/>
      <c r="R76" s="1717"/>
      <c r="S76" s="1718"/>
      <c r="T76" s="1717"/>
      <c r="U76" s="1718"/>
      <c r="V76" s="1717"/>
      <c r="W76" s="1718"/>
      <c r="X76" s="1717"/>
      <c r="Y76" s="1718"/>
      <c r="Z76" s="1764"/>
    </row>
    <row r="77" spans="1:26">
      <c r="A77" s="1729"/>
      <c r="B77" s="477"/>
      <c r="C77" s="477"/>
      <c r="D77" s="477"/>
      <c r="E77" s="478"/>
      <c r="F77" s="477"/>
      <c r="G77" s="478"/>
      <c r="H77" s="477"/>
      <c r="I77" s="1718"/>
      <c r="J77" s="1717"/>
      <c r="K77" s="1717"/>
      <c r="L77" s="1717"/>
      <c r="M77" s="1718"/>
      <c r="N77" s="1717"/>
      <c r="O77" s="1718"/>
      <c r="P77" s="1717"/>
      <c r="Q77" s="1718"/>
      <c r="R77" s="1717"/>
      <c r="S77" s="1718"/>
      <c r="T77" s="1717"/>
      <c r="U77" s="1718"/>
      <c r="V77" s="1717"/>
      <c r="W77" s="1718"/>
      <c r="X77" s="1717"/>
      <c r="Y77" s="1718"/>
      <c r="Z77" s="1764"/>
    </row>
    <row r="78" spans="1:26">
      <c r="A78" s="1729"/>
      <c r="B78" s="477"/>
      <c r="C78" s="477"/>
      <c r="D78" s="477"/>
      <c r="E78" s="478"/>
      <c r="F78" s="477"/>
      <c r="G78" s="478"/>
      <c r="H78" s="477"/>
      <c r="I78" s="1718"/>
      <c r="J78" s="1717"/>
      <c r="K78" s="1717"/>
      <c r="L78" s="1717"/>
      <c r="M78" s="1718"/>
      <c r="N78" s="1717"/>
      <c r="O78" s="1718"/>
      <c r="P78" s="1717"/>
      <c r="Q78" s="1718"/>
      <c r="R78" s="1717"/>
      <c r="S78" s="1718"/>
      <c r="T78" s="1717"/>
      <c r="U78" s="1718"/>
      <c r="V78" s="1717"/>
      <c r="W78" s="1718"/>
      <c r="X78" s="1717"/>
      <c r="Y78" s="1718"/>
      <c r="Z78" s="1764"/>
    </row>
    <row r="79" spans="1:26">
      <c r="A79" s="1729"/>
      <c r="B79" s="477"/>
      <c r="C79" s="477"/>
      <c r="D79" s="477"/>
      <c r="E79" s="478"/>
      <c r="F79" s="477"/>
      <c r="G79" s="478"/>
      <c r="H79" s="477"/>
      <c r="I79" s="1718"/>
      <c r="J79" s="1717"/>
      <c r="K79" s="1717"/>
      <c r="L79" s="1717"/>
      <c r="M79" s="1718"/>
      <c r="N79" s="1717"/>
      <c r="O79" s="1718"/>
      <c r="P79" s="1717"/>
      <c r="Q79" s="1718"/>
      <c r="R79" s="1717"/>
      <c r="S79" s="1718"/>
      <c r="T79" s="1717"/>
      <c r="U79" s="1718"/>
      <c r="V79" s="1717"/>
      <c r="W79" s="1718"/>
      <c r="X79" s="1717"/>
      <c r="Y79" s="1718"/>
      <c r="Z79" s="1764"/>
    </row>
    <row r="80" spans="1:26">
      <c r="A80" s="1729"/>
      <c r="B80" s="477"/>
      <c r="C80" s="477"/>
      <c r="D80" s="477"/>
      <c r="E80" s="478"/>
      <c r="F80" s="477"/>
      <c r="G80" s="478"/>
      <c r="H80" s="477"/>
      <c r="I80" s="1718"/>
      <c r="J80" s="1717"/>
      <c r="K80" s="1717"/>
      <c r="L80" s="1717"/>
      <c r="M80" s="1718"/>
      <c r="N80" s="1717"/>
      <c r="O80" s="1718"/>
      <c r="P80" s="1717"/>
      <c r="Q80" s="1718"/>
      <c r="R80" s="1717"/>
      <c r="S80" s="1718"/>
      <c r="T80" s="1717"/>
      <c r="U80" s="1718"/>
      <c r="V80" s="1717"/>
      <c r="W80" s="1718"/>
      <c r="X80" s="1717"/>
      <c r="Y80" s="1718"/>
      <c r="Z80" s="1764"/>
    </row>
    <row r="81" spans="1:26">
      <c r="A81" s="1729"/>
      <c r="B81" s="477"/>
      <c r="C81" s="477"/>
      <c r="D81" s="477"/>
      <c r="E81" s="478"/>
      <c r="F81" s="477"/>
      <c r="G81" s="478"/>
      <c r="H81" s="477"/>
      <c r="I81" s="1718"/>
      <c r="J81" s="1717"/>
      <c r="K81" s="1717"/>
      <c r="L81" s="1717"/>
      <c r="M81" s="1718"/>
      <c r="N81" s="1717"/>
      <c r="O81" s="1718"/>
      <c r="P81" s="1717"/>
      <c r="Q81" s="1718"/>
      <c r="R81" s="1717"/>
      <c r="S81" s="1718"/>
      <c r="T81" s="1717"/>
      <c r="U81" s="1718"/>
      <c r="V81" s="1717"/>
      <c r="W81" s="1718"/>
      <c r="X81" s="1717"/>
      <c r="Y81" s="1718"/>
      <c r="Z81" s="1764"/>
    </row>
    <row r="82" spans="1:26">
      <c r="A82" s="1729"/>
      <c r="B82" s="477"/>
      <c r="C82" s="477"/>
      <c r="D82" s="477"/>
      <c r="E82" s="478"/>
      <c r="F82" s="477"/>
      <c r="G82" s="478"/>
      <c r="H82" s="477"/>
      <c r="I82" s="1718"/>
      <c r="J82" s="1717"/>
      <c r="K82" s="1717"/>
      <c r="L82" s="1717"/>
      <c r="M82" s="1718"/>
      <c r="N82" s="1717"/>
      <c r="O82" s="1718"/>
      <c r="P82" s="1717"/>
      <c r="Q82" s="1718"/>
      <c r="R82" s="1717"/>
      <c r="S82" s="1718"/>
      <c r="T82" s="1717"/>
      <c r="U82" s="1718"/>
      <c r="V82" s="1717"/>
      <c r="W82" s="1718"/>
      <c r="X82" s="1717"/>
      <c r="Y82" s="1718"/>
      <c r="Z82" s="1764"/>
    </row>
    <row r="83" spans="1:26">
      <c r="A83" s="1729"/>
      <c r="B83" s="477"/>
      <c r="C83" s="477"/>
      <c r="D83" s="477"/>
      <c r="E83" s="478"/>
      <c r="F83" s="477"/>
      <c r="G83" s="478"/>
      <c r="H83" s="477"/>
      <c r="I83" s="1718"/>
      <c r="J83" s="1717"/>
      <c r="K83" s="1717"/>
      <c r="L83" s="1717"/>
      <c r="M83" s="1718"/>
      <c r="N83" s="1717"/>
      <c r="O83" s="1718"/>
      <c r="P83" s="1717"/>
      <c r="Q83" s="1718"/>
      <c r="R83" s="1717"/>
      <c r="S83" s="1718"/>
      <c r="T83" s="1717"/>
      <c r="U83" s="1718"/>
      <c r="V83" s="1717"/>
      <c r="W83" s="1718"/>
      <c r="X83" s="1717"/>
      <c r="Y83" s="1718"/>
      <c r="Z83" s="1764"/>
    </row>
    <row r="84" spans="1:26">
      <c r="A84" s="1729"/>
      <c r="B84" s="477"/>
      <c r="C84" s="477"/>
      <c r="D84" s="477"/>
      <c r="E84" s="478"/>
      <c r="F84" s="477"/>
      <c r="G84" s="478"/>
      <c r="H84" s="477"/>
      <c r="I84" s="1718"/>
      <c r="J84" s="1717"/>
      <c r="K84" s="1717"/>
      <c r="L84" s="1717"/>
      <c r="M84" s="1718"/>
      <c r="N84" s="1717"/>
      <c r="O84" s="1718"/>
      <c r="P84" s="1717"/>
      <c r="Q84" s="1718"/>
      <c r="R84" s="1717"/>
      <c r="S84" s="1718"/>
      <c r="T84" s="1717"/>
      <c r="U84" s="1718"/>
      <c r="V84" s="1717"/>
      <c r="W84" s="1718"/>
      <c r="X84" s="1717"/>
      <c r="Y84" s="1718"/>
      <c r="Z84" s="1764"/>
    </row>
    <row r="85" spans="1:26">
      <c r="A85" s="1729"/>
      <c r="B85" s="477"/>
      <c r="C85" s="477"/>
      <c r="D85" s="477"/>
      <c r="E85" s="478"/>
      <c r="F85" s="477"/>
      <c r="G85" s="478"/>
      <c r="H85" s="477"/>
      <c r="I85" s="1718"/>
      <c r="J85" s="1717"/>
      <c r="K85" s="1717"/>
      <c r="L85" s="1717"/>
      <c r="M85" s="1718"/>
      <c r="N85" s="1717"/>
      <c r="O85" s="1718"/>
      <c r="P85" s="1717"/>
      <c r="Q85" s="1718"/>
      <c r="R85" s="1717"/>
      <c r="S85" s="1718"/>
      <c r="T85" s="1717"/>
      <c r="U85" s="1718"/>
      <c r="V85" s="1717"/>
      <c r="W85" s="1718"/>
      <c r="X85" s="1717"/>
      <c r="Y85" s="1718"/>
      <c r="Z85" s="1764"/>
    </row>
    <row r="86" spans="1:26">
      <c r="A86" s="1729"/>
      <c r="B86" s="477"/>
      <c r="C86" s="477"/>
      <c r="D86" s="477"/>
      <c r="E86" s="478"/>
      <c r="F86" s="477"/>
      <c r="G86" s="478"/>
      <c r="H86" s="477"/>
      <c r="I86" s="1718"/>
      <c r="J86" s="1717"/>
      <c r="K86" s="1717"/>
      <c r="L86" s="1717"/>
      <c r="M86" s="1718"/>
      <c r="N86" s="1717"/>
      <c r="O86" s="1718"/>
      <c r="P86" s="1717"/>
      <c r="Q86" s="1718"/>
      <c r="R86" s="1717"/>
      <c r="S86" s="1718"/>
      <c r="T86" s="1717"/>
      <c r="U86" s="1718"/>
      <c r="V86" s="1717"/>
      <c r="W86" s="1718"/>
      <c r="X86" s="1717"/>
      <c r="Y86" s="1718"/>
      <c r="Z86" s="1764"/>
    </row>
    <row r="87" spans="1:26">
      <c r="A87" s="1729"/>
      <c r="B87" s="477"/>
      <c r="C87" s="477"/>
      <c r="D87" s="477"/>
      <c r="E87" s="478"/>
      <c r="F87" s="477"/>
      <c r="G87" s="478"/>
      <c r="H87" s="477"/>
      <c r="I87" s="1718"/>
      <c r="J87" s="1717"/>
      <c r="K87" s="1717"/>
      <c r="L87" s="1717"/>
      <c r="M87" s="1718"/>
      <c r="N87" s="1717"/>
      <c r="O87" s="1718"/>
      <c r="P87" s="1717"/>
      <c r="Q87" s="1718"/>
      <c r="R87" s="1717"/>
      <c r="S87" s="1718"/>
      <c r="T87" s="1717"/>
      <c r="U87" s="1718"/>
      <c r="V87" s="1717"/>
      <c r="W87" s="1718"/>
      <c r="X87" s="1717"/>
      <c r="Y87" s="1718"/>
      <c r="Z87" s="1764"/>
    </row>
    <row r="88" spans="1:26">
      <c r="A88" s="1729"/>
      <c r="B88" s="477"/>
      <c r="C88" s="477"/>
      <c r="D88" s="477"/>
      <c r="E88" s="478"/>
      <c r="F88" s="477"/>
      <c r="G88" s="478"/>
      <c r="H88" s="477"/>
      <c r="I88" s="1718"/>
      <c r="J88" s="1717"/>
      <c r="K88" s="1717"/>
      <c r="L88" s="1717"/>
      <c r="M88" s="1718"/>
      <c r="N88" s="1717"/>
      <c r="O88" s="1718"/>
      <c r="P88" s="1717"/>
      <c r="Q88" s="1718"/>
      <c r="R88" s="1717"/>
      <c r="S88" s="1718"/>
      <c r="T88" s="1717"/>
      <c r="U88" s="1718"/>
      <c r="V88" s="1717"/>
      <c r="W88" s="1718"/>
      <c r="X88" s="1717"/>
      <c r="Y88" s="1718"/>
      <c r="Z88" s="1764"/>
    </row>
    <row r="89" spans="1:26">
      <c r="A89" s="1729"/>
      <c r="B89" s="477"/>
      <c r="C89" s="477"/>
      <c r="D89" s="477"/>
      <c r="E89" s="478"/>
      <c r="F89" s="477"/>
      <c r="G89" s="478"/>
      <c r="H89" s="477"/>
      <c r="I89" s="1718"/>
      <c r="J89" s="1717"/>
      <c r="K89" s="1717"/>
      <c r="L89" s="1717"/>
      <c r="M89" s="1718"/>
      <c r="N89" s="1717"/>
      <c r="O89" s="1718"/>
      <c r="P89" s="1717"/>
      <c r="Q89" s="1718"/>
      <c r="R89" s="1717"/>
      <c r="S89" s="1718"/>
      <c r="T89" s="1717"/>
      <c r="U89" s="1718"/>
      <c r="V89" s="1717"/>
      <c r="W89" s="1718"/>
      <c r="X89" s="1717"/>
      <c r="Y89" s="1718"/>
      <c r="Z89" s="1764"/>
    </row>
    <row r="90" spans="1:26">
      <c r="A90" s="1729"/>
      <c r="B90" s="477"/>
      <c r="C90" s="477"/>
      <c r="D90" s="477"/>
      <c r="E90" s="478"/>
      <c r="F90" s="477"/>
      <c r="G90" s="478"/>
      <c r="H90" s="477"/>
      <c r="I90" s="1718"/>
      <c r="J90" s="1717"/>
      <c r="K90" s="1717"/>
      <c r="L90" s="1717"/>
      <c r="M90" s="1718"/>
      <c r="N90" s="1717"/>
      <c r="O90" s="1718"/>
      <c r="P90" s="1717"/>
      <c r="Q90" s="1718"/>
      <c r="R90" s="1717"/>
      <c r="S90" s="1718"/>
      <c r="T90" s="1717"/>
      <c r="U90" s="1718"/>
      <c r="V90" s="1717"/>
      <c r="W90" s="1718"/>
      <c r="X90" s="1717"/>
      <c r="Y90" s="1718"/>
      <c r="Z90" s="1764"/>
    </row>
    <row r="91" spans="1:26">
      <c r="A91" s="1729"/>
      <c r="B91" s="477"/>
      <c r="C91" s="477"/>
      <c r="D91" s="477"/>
      <c r="E91" s="478"/>
      <c r="F91" s="477"/>
      <c r="G91" s="478"/>
      <c r="H91" s="477"/>
      <c r="I91" s="1718"/>
      <c r="J91" s="1717"/>
      <c r="K91" s="1717"/>
      <c r="L91" s="1717"/>
      <c r="M91" s="1718"/>
      <c r="N91" s="1717"/>
      <c r="O91" s="1718"/>
      <c r="P91" s="1717"/>
      <c r="Q91" s="1718"/>
      <c r="R91" s="1717"/>
      <c r="S91" s="1718"/>
      <c r="T91" s="1717"/>
      <c r="U91" s="1718"/>
      <c r="V91" s="1717"/>
      <c r="W91" s="1718"/>
      <c r="X91" s="1717"/>
      <c r="Y91" s="1718"/>
      <c r="Z91" s="1764"/>
    </row>
    <row r="92" spans="1:26">
      <c r="A92" s="1729"/>
      <c r="B92" s="477"/>
      <c r="C92" s="477"/>
      <c r="D92" s="477"/>
      <c r="E92" s="478"/>
      <c r="F92" s="477"/>
      <c r="G92" s="478"/>
      <c r="H92" s="477"/>
      <c r="I92" s="1718"/>
      <c r="J92" s="1717"/>
      <c r="K92" s="1717"/>
      <c r="L92" s="1717"/>
      <c r="M92" s="1718"/>
      <c r="N92" s="1717"/>
      <c r="O92" s="1718"/>
      <c r="P92" s="1717"/>
      <c r="Q92" s="1718"/>
      <c r="R92" s="1717"/>
      <c r="S92" s="1718"/>
      <c r="T92" s="1717"/>
      <c r="U92" s="1718"/>
      <c r="V92" s="1717"/>
      <c r="W92" s="1718"/>
      <c r="X92" s="1717"/>
      <c r="Y92" s="1718"/>
      <c r="Z92" s="1764"/>
    </row>
    <row r="93" spans="1:26">
      <c r="A93" s="1729"/>
      <c r="B93" s="477"/>
      <c r="C93" s="477"/>
      <c r="D93" s="477"/>
      <c r="E93" s="478"/>
      <c r="F93" s="477"/>
      <c r="G93" s="478"/>
      <c r="H93" s="477"/>
      <c r="I93" s="1718"/>
      <c r="J93" s="1717"/>
      <c r="K93" s="1717"/>
      <c r="L93" s="1717"/>
      <c r="M93" s="1718"/>
      <c r="N93" s="1717"/>
      <c r="O93" s="1718"/>
      <c r="P93" s="1717"/>
      <c r="Q93" s="1718"/>
      <c r="R93" s="1717"/>
      <c r="S93" s="1718"/>
      <c r="T93" s="1717"/>
      <c r="U93" s="1718"/>
      <c r="V93" s="1717"/>
      <c r="W93" s="1718"/>
      <c r="X93" s="1717"/>
      <c r="Y93" s="1718"/>
      <c r="Z93" s="1764"/>
    </row>
    <row r="94" spans="1:26">
      <c r="A94" s="1729"/>
      <c r="B94" s="477"/>
      <c r="C94" s="477"/>
      <c r="D94" s="477"/>
      <c r="E94" s="478"/>
      <c r="F94" s="477"/>
      <c r="G94" s="478"/>
      <c r="H94" s="477"/>
      <c r="I94" s="1718"/>
      <c r="J94" s="1717"/>
      <c r="K94" s="1717"/>
      <c r="L94" s="1717"/>
      <c r="M94" s="1718"/>
      <c r="N94" s="1717"/>
      <c r="O94" s="1718"/>
      <c r="P94" s="1717"/>
      <c r="Q94" s="1718"/>
      <c r="R94" s="1717"/>
      <c r="S94" s="1718"/>
      <c r="T94" s="1717"/>
      <c r="U94" s="1718"/>
      <c r="V94" s="1717"/>
      <c r="W94" s="1718"/>
      <c r="X94" s="1717"/>
      <c r="Y94" s="1718"/>
      <c r="Z94" s="1764"/>
    </row>
    <row r="95" spans="1:26">
      <c r="A95" s="1729"/>
      <c r="B95" s="477"/>
      <c r="C95" s="477"/>
      <c r="D95" s="477"/>
      <c r="E95" s="478"/>
      <c r="F95" s="477"/>
      <c r="G95" s="478"/>
      <c r="H95" s="477"/>
      <c r="I95" s="1718"/>
      <c r="J95" s="1717"/>
      <c r="K95" s="1717"/>
      <c r="L95" s="1717"/>
      <c r="M95" s="1718"/>
      <c r="N95" s="1717"/>
      <c r="O95" s="1718"/>
      <c r="P95" s="1717"/>
      <c r="Q95" s="1718"/>
      <c r="R95" s="1717"/>
      <c r="S95" s="1718"/>
      <c r="T95" s="1717"/>
      <c r="U95" s="1718"/>
      <c r="V95" s="1717"/>
      <c r="W95" s="1718"/>
      <c r="X95" s="1717"/>
      <c r="Y95" s="1718"/>
      <c r="Z95" s="1764"/>
    </row>
    <row r="96" spans="1:26">
      <c r="A96" s="1729"/>
      <c r="B96" s="477"/>
      <c r="C96" s="477"/>
      <c r="D96" s="477"/>
      <c r="E96" s="478"/>
      <c r="F96" s="477"/>
      <c r="G96" s="478"/>
      <c r="H96" s="477"/>
      <c r="I96" s="1718"/>
      <c r="J96" s="1717"/>
      <c r="K96" s="1717"/>
      <c r="L96" s="1717"/>
      <c r="M96" s="1718"/>
      <c r="N96" s="1717"/>
      <c r="O96" s="1718"/>
      <c r="P96" s="1717"/>
      <c r="Q96" s="1718"/>
      <c r="R96" s="1717"/>
      <c r="S96" s="1718"/>
      <c r="T96" s="1717"/>
      <c r="U96" s="1718"/>
      <c r="V96" s="1717"/>
      <c r="W96" s="1718"/>
      <c r="X96" s="1717"/>
      <c r="Y96" s="1718"/>
      <c r="Z96" s="1764"/>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1640625" defaultRowHeight="13.2"/>
  <cols>
    <col min="1" max="1" width="54.81640625" style="899" customWidth="1"/>
    <col min="2" max="2" width="22.08984375" style="899" customWidth="1"/>
    <col min="3" max="3" width="24.81640625" style="899" customWidth="1"/>
    <col min="4" max="4" width="30.81640625" style="899" customWidth="1"/>
    <col min="5" max="5" width="2" style="901" customWidth="1"/>
    <col min="6" max="6" width="13" style="1926" bestFit="1" customWidth="1"/>
    <col min="7" max="7" width="8.81640625" style="901"/>
    <col min="8" max="16384" width="8.81640625" style="899"/>
  </cols>
  <sheetData>
    <row r="1" spans="1:7">
      <c r="A1" s="3009" t="s">
        <v>881</v>
      </c>
      <c r="B1" s="1563"/>
      <c r="C1" s="1563"/>
      <c r="D1" s="1563"/>
      <c r="E1" s="900"/>
    </row>
    <row r="2" spans="1:7">
      <c r="A2" s="3010"/>
      <c r="B2" s="1563"/>
      <c r="C2" s="1563"/>
      <c r="D2" s="1481"/>
      <c r="E2" s="900"/>
    </row>
    <row r="3" spans="1:7" s="906" customFormat="1" ht="15">
      <c r="A3" s="1525" t="s">
        <v>490</v>
      </c>
      <c r="B3" s="1563"/>
      <c r="C3" s="1563"/>
      <c r="D3" s="3357" t="s">
        <v>491</v>
      </c>
      <c r="E3" s="2980"/>
      <c r="F3" s="1927"/>
      <c r="G3" s="616"/>
    </row>
    <row r="4" spans="1:7" s="906" customFormat="1" ht="15">
      <c r="A4" s="1525" t="s">
        <v>492</v>
      </c>
      <c r="B4" s="1563"/>
      <c r="C4" s="1563"/>
      <c r="D4" s="1563"/>
      <c r="E4" s="2980"/>
      <c r="F4" s="1927"/>
      <c r="G4" s="616"/>
    </row>
    <row r="5" spans="1:7" s="906" customFormat="1" ht="15">
      <c r="A5" s="1525" t="s">
        <v>493</v>
      </c>
      <c r="B5" s="1563"/>
      <c r="C5" s="1563"/>
      <c r="D5" s="1563"/>
      <c r="E5" s="2980"/>
      <c r="F5" s="1927"/>
      <c r="G5" s="616"/>
    </row>
    <row r="6" spans="1:7" s="906" customFormat="1" ht="15">
      <c r="A6" s="1526" t="str">
        <f>'HCRA '!A6</f>
        <v xml:space="preserve">FISCAL YEAR 2021-2022   </v>
      </c>
      <c r="B6" s="1563"/>
      <c r="C6" s="1563"/>
      <c r="D6" s="1563"/>
      <c r="E6" s="2980"/>
      <c r="F6" s="1927"/>
      <c r="G6" s="616"/>
    </row>
    <row r="7" spans="1:7">
      <c r="A7" s="1526"/>
      <c r="B7" s="1563"/>
      <c r="C7" s="1563"/>
      <c r="D7" s="1563"/>
      <c r="E7" s="900"/>
    </row>
    <row r="8" spans="1:7" ht="27" customHeight="1">
      <c r="A8" s="3496" t="s">
        <v>494</v>
      </c>
      <c r="B8" s="3496" t="s">
        <v>1213</v>
      </c>
      <c r="C8" s="3496" t="s">
        <v>1582</v>
      </c>
      <c r="D8" s="3497" t="s">
        <v>1581</v>
      </c>
      <c r="E8" s="2981"/>
    </row>
    <row r="9" spans="1:7" s="906" customFormat="1">
      <c r="A9" s="3540" t="s">
        <v>495</v>
      </c>
      <c r="B9" s="3578">
        <v>8827000</v>
      </c>
      <c r="C9" s="3578">
        <v>211124.38999999998</v>
      </c>
      <c r="D9" s="3578">
        <v>2249988.4</v>
      </c>
      <c r="E9" s="1624"/>
      <c r="F9" s="1927"/>
      <c r="G9" s="616"/>
    </row>
    <row r="10" spans="1:7" s="906" customFormat="1" ht="15">
      <c r="A10" s="3504" t="s">
        <v>1214</v>
      </c>
      <c r="B10" s="3505">
        <v>8827000</v>
      </c>
      <c r="C10" s="3505">
        <v>211124.38999999998</v>
      </c>
      <c r="D10" s="3505">
        <v>2249988.4</v>
      </c>
      <c r="E10" s="2982"/>
      <c r="F10" s="1927"/>
      <c r="G10" s="616"/>
    </row>
    <row r="11" spans="1:7" s="906" customFormat="1">
      <c r="A11" s="3540" t="s">
        <v>496</v>
      </c>
      <c r="B11" s="3541">
        <v>1901406000</v>
      </c>
      <c r="C11" s="3541">
        <v>36110408.310000002</v>
      </c>
      <c r="D11" s="3541">
        <v>587660365.8499999</v>
      </c>
      <c r="E11" s="1624"/>
      <c r="F11" s="1927"/>
      <c r="G11" s="616"/>
    </row>
    <row r="12" spans="1:7" s="906" customFormat="1">
      <c r="A12" s="3504" t="s">
        <v>1215</v>
      </c>
      <c r="B12" s="3505">
        <v>1901406000</v>
      </c>
      <c r="C12" s="3505">
        <v>36110408.310000002</v>
      </c>
      <c r="D12" s="3505">
        <v>587660365.8499999</v>
      </c>
      <c r="E12" s="1624"/>
      <c r="F12" s="1927"/>
      <c r="G12" s="616"/>
    </row>
    <row r="13" spans="1:7" s="906" customFormat="1">
      <c r="A13" s="3540" t="s">
        <v>497</v>
      </c>
      <c r="B13" s="3541">
        <v>120000</v>
      </c>
      <c r="C13" s="3541">
        <v>0</v>
      </c>
      <c r="D13" s="3541">
        <v>0</v>
      </c>
      <c r="E13" s="1624"/>
      <c r="F13" s="1927"/>
      <c r="G13" s="616"/>
    </row>
    <row r="14" spans="1:7" s="906" customFormat="1">
      <c r="A14" s="3504" t="s">
        <v>1216</v>
      </c>
      <c r="B14" s="3505">
        <v>120000</v>
      </c>
      <c r="C14" s="3505">
        <v>0</v>
      </c>
      <c r="D14" s="3505">
        <v>0</v>
      </c>
      <c r="E14" s="1624"/>
      <c r="F14" s="1927"/>
      <c r="G14" s="616"/>
    </row>
    <row r="15" spans="1:7" s="906" customFormat="1">
      <c r="A15" s="3540" t="s">
        <v>1115</v>
      </c>
      <c r="B15" s="3541">
        <v>234330000</v>
      </c>
      <c r="C15" s="3541">
        <v>10087384.59</v>
      </c>
      <c r="D15" s="3541">
        <v>91988061.540000007</v>
      </c>
      <c r="E15" s="1624"/>
      <c r="F15" s="1927"/>
      <c r="G15" s="616"/>
    </row>
    <row r="16" spans="1:7" s="906" customFormat="1">
      <c r="A16" s="3504" t="s">
        <v>1217</v>
      </c>
      <c r="B16" s="3505">
        <v>234330000</v>
      </c>
      <c r="C16" s="3505">
        <v>10087384.59</v>
      </c>
      <c r="D16" s="3505">
        <v>91988061.540000007</v>
      </c>
      <c r="E16" s="1624"/>
      <c r="F16" s="1927"/>
      <c r="G16" s="616"/>
    </row>
    <row r="17" spans="1:7" s="906" customFormat="1">
      <c r="A17" s="3540" t="s">
        <v>498</v>
      </c>
      <c r="B17" s="3541">
        <v>1240915059.03</v>
      </c>
      <c r="C17" s="3541">
        <v>16948299.890000001</v>
      </c>
      <c r="D17" s="3541">
        <v>256710240.46000001</v>
      </c>
      <c r="E17" s="1624"/>
      <c r="F17" s="1927"/>
      <c r="G17" s="616"/>
    </row>
    <row r="18" spans="1:7" s="906" customFormat="1">
      <c r="A18" s="3504" t="s">
        <v>1218</v>
      </c>
      <c r="B18" s="3505">
        <v>82100000</v>
      </c>
      <c r="C18" s="3505">
        <v>0</v>
      </c>
      <c r="D18" s="3505">
        <v>20000000</v>
      </c>
      <c r="E18" s="1624"/>
      <c r="F18" s="1927"/>
      <c r="G18" s="616"/>
    </row>
    <row r="19" spans="1:7" s="906" customFormat="1">
      <c r="A19" s="3504" t="s">
        <v>1219</v>
      </c>
      <c r="B19" s="3505">
        <v>3537000</v>
      </c>
      <c r="C19" s="3505">
        <v>0</v>
      </c>
      <c r="D19" s="3505">
        <v>-2105.4699999999998</v>
      </c>
      <c r="E19" s="1624"/>
      <c r="F19" s="1927"/>
      <c r="G19" s="616"/>
    </row>
    <row r="20" spans="1:7" s="906" customFormat="1">
      <c r="A20" s="3504" t="s">
        <v>1220</v>
      </c>
      <c r="B20" s="3505">
        <v>3387000</v>
      </c>
      <c r="C20" s="3505">
        <v>0</v>
      </c>
      <c r="D20" s="3505">
        <v>0</v>
      </c>
      <c r="E20" s="1624"/>
      <c r="F20" s="1927"/>
      <c r="G20" s="616"/>
    </row>
    <row r="21" spans="1:7" s="906" customFormat="1">
      <c r="A21" s="3504" t="s">
        <v>1221</v>
      </c>
      <c r="B21" s="3505">
        <v>5800000</v>
      </c>
      <c r="C21" s="3505">
        <v>0</v>
      </c>
      <c r="D21" s="3505">
        <v>0</v>
      </c>
      <c r="E21" s="1624"/>
      <c r="F21" s="1927"/>
      <c r="G21" s="616"/>
    </row>
    <row r="22" spans="1:7" s="906" customFormat="1">
      <c r="A22" s="3504" t="s">
        <v>1222</v>
      </c>
      <c r="B22" s="3505">
        <v>108800000</v>
      </c>
      <c r="C22" s="3505">
        <v>0</v>
      </c>
      <c r="D22" s="3505">
        <v>22536850.5</v>
      </c>
      <c r="E22" s="1624"/>
      <c r="F22" s="1927"/>
      <c r="G22" s="616"/>
    </row>
    <row r="23" spans="1:7" s="906" customFormat="1">
      <c r="A23" s="3504" t="s">
        <v>1223</v>
      </c>
      <c r="B23" s="3505">
        <v>4784000</v>
      </c>
      <c r="C23" s="3505">
        <v>0</v>
      </c>
      <c r="D23" s="3505">
        <v>500416.67</v>
      </c>
      <c r="E23" s="1624"/>
      <c r="F23" s="1927"/>
      <c r="G23" s="616"/>
    </row>
    <row r="24" spans="1:7" s="906" customFormat="1">
      <c r="A24" s="3504" t="s">
        <v>1224</v>
      </c>
      <c r="B24" s="3505">
        <v>6890000</v>
      </c>
      <c r="C24" s="3505">
        <v>0</v>
      </c>
      <c r="D24" s="3505">
        <v>0</v>
      </c>
      <c r="E24" s="1624"/>
      <c r="F24" s="1927"/>
      <c r="G24" s="616"/>
    </row>
    <row r="25" spans="1:7" s="906" customFormat="1">
      <c r="A25" s="3504" t="s">
        <v>1225</v>
      </c>
      <c r="B25" s="3505">
        <v>9440000</v>
      </c>
      <c r="C25" s="3505">
        <v>332000</v>
      </c>
      <c r="D25" s="3505">
        <v>3397354.44</v>
      </c>
      <c r="E25" s="1624"/>
      <c r="F25" s="1927"/>
      <c r="G25" s="616"/>
    </row>
    <row r="26" spans="1:7" s="906" customFormat="1">
      <c r="A26" s="3504" t="s">
        <v>1226</v>
      </c>
      <c r="B26" s="3505">
        <v>39200000</v>
      </c>
      <c r="C26" s="3505">
        <v>0</v>
      </c>
      <c r="D26" s="3505">
        <v>9600000</v>
      </c>
      <c r="E26" s="1624"/>
      <c r="F26" s="1927"/>
      <c r="G26" s="616"/>
    </row>
    <row r="27" spans="1:7" s="906" customFormat="1">
      <c r="A27" s="3504" t="s">
        <v>1227</v>
      </c>
      <c r="B27" s="3505">
        <v>18320000</v>
      </c>
      <c r="C27" s="3505">
        <v>0</v>
      </c>
      <c r="D27" s="3505">
        <v>248288.41999999998</v>
      </c>
      <c r="E27" s="900"/>
      <c r="F27" s="1927"/>
      <c r="G27" s="616"/>
    </row>
    <row r="28" spans="1:7" s="906" customFormat="1">
      <c r="A28" s="3504" t="s">
        <v>1228</v>
      </c>
      <c r="B28" s="3505">
        <v>5733000</v>
      </c>
      <c r="C28" s="3505">
        <v>37083.01</v>
      </c>
      <c r="D28" s="3505">
        <v>457907.23</v>
      </c>
      <c r="E28" s="900"/>
      <c r="F28" s="1927"/>
      <c r="G28" s="616"/>
    </row>
    <row r="29" spans="1:7">
      <c r="A29" s="3504" t="s">
        <v>1229</v>
      </c>
      <c r="B29" s="3505">
        <v>52000000</v>
      </c>
      <c r="C29" s="3505">
        <v>0</v>
      </c>
      <c r="D29" s="3505">
        <v>52000000</v>
      </c>
      <c r="E29" s="900"/>
    </row>
    <row r="30" spans="1:7">
      <c r="A30" s="3504" t="s">
        <v>1230</v>
      </c>
      <c r="B30" s="3505">
        <v>2200000</v>
      </c>
      <c r="C30" s="3505">
        <v>108399.39</v>
      </c>
      <c r="D30" s="3505">
        <v>650615.18999999994</v>
      </c>
      <c r="E30" s="900"/>
    </row>
    <row r="31" spans="1:7">
      <c r="A31" s="3504" t="s">
        <v>1231</v>
      </c>
      <c r="B31" s="3505">
        <v>207200000</v>
      </c>
      <c r="C31" s="3505">
        <v>0</v>
      </c>
      <c r="D31" s="3505">
        <v>81869248</v>
      </c>
      <c r="E31" s="900"/>
    </row>
    <row r="32" spans="1:7">
      <c r="A32" s="3504" t="s">
        <v>1232</v>
      </c>
      <c r="B32" s="3505">
        <v>36258000</v>
      </c>
      <c r="C32" s="3505">
        <v>2675130.48</v>
      </c>
      <c r="D32" s="3505">
        <v>6217847.7999999998</v>
      </c>
      <c r="E32" s="900"/>
    </row>
    <row r="33" spans="1:5">
      <c r="A33" s="3504" t="s">
        <v>1233</v>
      </c>
      <c r="B33" s="3505">
        <v>974000</v>
      </c>
      <c r="C33" s="3505">
        <v>0</v>
      </c>
      <c r="D33" s="3505">
        <v>187860</v>
      </c>
      <c r="E33" s="2983"/>
    </row>
    <row r="34" spans="1:5">
      <c r="A34" s="3504" t="s">
        <v>1234</v>
      </c>
      <c r="B34" s="3505">
        <v>8720000</v>
      </c>
      <c r="C34" s="3505">
        <v>0</v>
      </c>
      <c r="D34" s="3505">
        <v>0</v>
      </c>
      <c r="E34" s="900"/>
    </row>
    <row r="35" spans="1:5">
      <c r="A35" s="3504" t="s">
        <v>1235</v>
      </c>
      <c r="B35" s="3505">
        <v>5300000</v>
      </c>
      <c r="C35" s="3505">
        <v>0</v>
      </c>
      <c r="D35" s="3505">
        <v>2367065.83</v>
      </c>
      <c r="E35" s="900"/>
    </row>
    <row r="36" spans="1:5">
      <c r="A36" s="3504" t="s">
        <v>1236</v>
      </c>
      <c r="B36" s="3505">
        <v>89426000</v>
      </c>
      <c r="C36" s="3505">
        <v>12865000</v>
      </c>
      <c r="D36" s="3505">
        <v>51463000</v>
      </c>
      <c r="E36" s="900"/>
    </row>
    <row r="37" spans="1:5">
      <c r="A37" s="3504" t="s">
        <v>1275</v>
      </c>
      <c r="B37" s="3505">
        <v>50000</v>
      </c>
      <c r="C37" s="3505">
        <v>0</v>
      </c>
      <c r="D37" s="3505">
        <v>0</v>
      </c>
      <c r="E37" s="900"/>
    </row>
    <row r="38" spans="1:5">
      <c r="A38" s="3504" t="s">
        <v>1237</v>
      </c>
      <c r="B38" s="3505">
        <v>15950000</v>
      </c>
      <c r="C38" s="3505">
        <v>0</v>
      </c>
      <c r="D38" s="3505">
        <v>0</v>
      </c>
      <c r="E38" s="900"/>
    </row>
    <row r="39" spans="1:5">
      <c r="A39" s="3504" t="s">
        <v>1348</v>
      </c>
      <c r="B39" s="3505">
        <v>18820000</v>
      </c>
      <c r="C39" s="3505">
        <v>930687.01</v>
      </c>
      <c r="D39" s="3505">
        <v>5215891.8499999996</v>
      </c>
      <c r="E39" s="900"/>
    </row>
    <row r="40" spans="1:5">
      <c r="A40" s="3504" t="s">
        <v>1356</v>
      </c>
      <c r="B40" s="3505">
        <v>2200000</v>
      </c>
      <c r="C40" s="3505">
        <v>0</v>
      </c>
      <c r="D40" s="3505">
        <v>0</v>
      </c>
      <c r="E40" s="900"/>
    </row>
    <row r="41" spans="1:5">
      <c r="A41" s="3504" t="s">
        <v>1238</v>
      </c>
      <c r="B41" s="3505">
        <v>11610000</v>
      </c>
      <c r="C41" s="3505">
        <v>0</v>
      </c>
      <c r="D41" s="3505">
        <v>0</v>
      </c>
      <c r="E41" s="900"/>
    </row>
    <row r="42" spans="1:5">
      <c r="A42" s="3504" t="s">
        <v>1239</v>
      </c>
      <c r="B42" s="3505">
        <v>4230000</v>
      </c>
      <c r="C42" s="3505">
        <v>0</v>
      </c>
      <c r="D42" s="3505">
        <v>0</v>
      </c>
      <c r="E42" s="900"/>
    </row>
    <row r="43" spans="1:5">
      <c r="A43" s="3504" t="s">
        <v>1240</v>
      </c>
      <c r="B43" s="3505">
        <v>8460000</v>
      </c>
      <c r="C43" s="3505">
        <v>0</v>
      </c>
      <c r="D43" s="3505">
        <v>0</v>
      </c>
      <c r="E43" s="900"/>
    </row>
    <row r="44" spans="1:5">
      <c r="A44" s="3504" t="s">
        <v>1241</v>
      </c>
      <c r="B44" s="3505">
        <v>489526059.02999997</v>
      </c>
      <c r="C44" s="3505">
        <v>0</v>
      </c>
      <c r="D44" s="3505">
        <v>0</v>
      </c>
      <c r="E44" s="900"/>
    </row>
    <row r="45" spans="1:5">
      <c r="A45" s="3540" t="s">
        <v>499</v>
      </c>
      <c r="B45" s="3541">
        <v>28799805000</v>
      </c>
      <c r="C45" s="3541">
        <v>396379682.07999998</v>
      </c>
      <c r="D45" s="3541">
        <v>4050188346.5</v>
      </c>
      <c r="E45" s="900"/>
    </row>
    <row r="46" spans="1:5">
      <c r="A46" s="3504" t="s">
        <v>1242</v>
      </c>
      <c r="B46" s="3505">
        <v>300000000</v>
      </c>
      <c r="C46" s="3505">
        <v>0</v>
      </c>
      <c r="D46" s="3505">
        <v>0</v>
      </c>
      <c r="E46" s="900"/>
    </row>
    <row r="47" spans="1:5">
      <c r="A47" s="3504" t="s">
        <v>1243</v>
      </c>
      <c r="B47" s="3505">
        <v>4387400000</v>
      </c>
      <c r="C47" s="3505">
        <v>46379682.079999998</v>
      </c>
      <c r="D47" s="3505">
        <v>600188346.5</v>
      </c>
      <c r="E47" s="900"/>
    </row>
    <row r="48" spans="1:5">
      <c r="A48" s="3504" t="s">
        <v>1244</v>
      </c>
      <c r="B48" s="3505">
        <v>23129205000</v>
      </c>
      <c r="C48" s="3505">
        <v>350000000</v>
      </c>
      <c r="D48" s="3505">
        <v>3450000000</v>
      </c>
      <c r="E48" s="900"/>
    </row>
    <row r="49" spans="1:6">
      <c r="A49" s="3504" t="s">
        <v>1245</v>
      </c>
      <c r="B49" s="3505">
        <v>916000000</v>
      </c>
      <c r="C49" s="3505">
        <v>0</v>
      </c>
      <c r="D49" s="3505">
        <v>0</v>
      </c>
      <c r="E49" s="900"/>
    </row>
    <row r="50" spans="1:6">
      <c r="A50" s="3504" t="s">
        <v>1246</v>
      </c>
      <c r="B50" s="3505">
        <v>67200000</v>
      </c>
      <c r="C50" s="3505">
        <v>0</v>
      </c>
      <c r="D50" s="3505">
        <v>0</v>
      </c>
      <c r="E50" s="900"/>
    </row>
    <row r="51" spans="1:6">
      <c r="A51" s="3540" t="s">
        <v>1261</v>
      </c>
      <c r="B51" s="3541">
        <v>85091000</v>
      </c>
      <c r="C51" s="3541">
        <v>1111886.0300000003</v>
      </c>
      <c r="D51" s="3541">
        <v>23204537.930000003</v>
      </c>
      <c r="E51" s="900"/>
    </row>
    <row r="52" spans="1:6">
      <c r="A52" s="3504" t="s">
        <v>1262</v>
      </c>
      <c r="B52" s="3505">
        <v>85091000</v>
      </c>
      <c r="C52" s="3505">
        <v>1111886.0300000003</v>
      </c>
      <c r="D52" s="3505">
        <v>23204537.930000003</v>
      </c>
      <c r="E52" s="900"/>
    </row>
    <row r="53" spans="1:6">
      <c r="A53" s="3540" t="s">
        <v>500</v>
      </c>
      <c r="B53" s="3541">
        <v>1834000</v>
      </c>
      <c r="C53" s="3541">
        <v>0</v>
      </c>
      <c r="D53" s="3541">
        <v>0</v>
      </c>
      <c r="E53" s="900"/>
    </row>
    <row r="54" spans="1:6">
      <c r="A54" s="3504" t="s">
        <v>1247</v>
      </c>
      <c r="B54" s="3505">
        <v>1834000</v>
      </c>
      <c r="C54" s="3505">
        <v>0</v>
      </c>
      <c r="D54" s="3505">
        <v>0</v>
      </c>
      <c r="E54" s="900"/>
    </row>
    <row r="55" spans="1:6">
      <c r="A55" s="3540" t="s">
        <v>501</v>
      </c>
      <c r="B55" s="3541">
        <v>35923055</v>
      </c>
      <c r="C55" s="3541">
        <v>747218.47</v>
      </c>
      <c r="D55" s="3541">
        <v>8349276.4999999991</v>
      </c>
      <c r="E55" s="900"/>
    </row>
    <row r="56" spans="1:6">
      <c r="A56" s="3504" t="s">
        <v>1248</v>
      </c>
      <c r="B56" s="3505">
        <v>35923055</v>
      </c>
      <c r="C56" s="3505">
        <v>747218.47</v>
      </c>
      <c r="D56" s="3505">
        <v>8349276.4999999991</v>
      </c>
      <c r="E56" s="900"/>
    </row>
    <row r="57" spans="1:6">
      <c r="A57" s="3540" t="s">
        <v>1154</v>
      </c>
      <c r="B57" s="3541">
        <v>8190000</v>
      </c>
      <c r="C57" s="3541">
        <v>0</v>
      </c>
      <c r="D57" s="3541">
        <v>2467075.5999999996</v>
      </c>
      <c r="E57" s="900"/>
    </row>
    <row r="58" spans="1:6">
      <c r="A58" s="3504" t="s">
        <v>1154</v>
      </c>
      <c r="B58" s="3505">
        <v>8190000</v>
      </c>
      <c r="C58" s="3505">
        <v>0</v>
      </c>
      <c r="D58" s="3505">
        <v>2467075.5999999996</v>
      </c>
      <c r="E58" s="900"/>
    </row>
    <row r="59" spans="1:6">
      <c r="A59" s="3692" t="s">
        <v>541</v>
      </c>
      <c r="B59" s="3694">
        <v>32316441114.029999</v>
      </c>
      <c r="C59" s="3694">
        <v>461596003.75999999</v>
      </c>
      <c r="D59" s="3694">
        <v>5022817892.7800007</v>
      </c>
      <c r="E59" s="900"/>
    </row>
    <row r="60" spans="1:6" ht="15" customHeight="1">
      <c r="A60" s="3515" t="s">
        <v>502</v>
      </c>
      <c r="B60" s="3693"/>
      <c r="C60" s="3516">
        <v>-175423.19</v>
      </c>
      <c r="D60" s="3516">
        <v>-3135819.26</v>
      </c>
      <c r="E60" s="900"/>
      <c r="F60" s="1926" t="s">
        <v>14</v>
      </c>
    </row>
    <row r="61" spans="1:6" ht="15.6" customHeight="1">
      <c r="A61" s="3515" t="s">
        <v>1199</v>
      </c>
      <c r="B61" s="3693"/>
      <c r="C61" s="3516">
        <v>0</v>
      </c>
      <c r="D61" s="3516">
        <v>0</v>
      </c>
      <c r="E61" s="900"/>
    </row>
    <row r="62" spans="1:6" ht="12.75" customHeight="1">
      <c r="A62" s="3515" t="s">
        <v>1200</v>
      </c>
      <c r="B62" s="3516"/>
      <c r="C62" s="3516">
        <v>0</v>
      </c>
      <c r="D62" s="3516">
        <v>0</v>
      </c>
      <c r="E62" s="2984"/>
    </row>
    <row r="63" spans="1:6">
      <c r="A63" s="3515" t="s">
        <v>503</v>
      </c>
      <c r="B63" s="3516"/>
      <c r="C63" s="3516">
        <v>-975.57</v>
      </c>
      <c r="D63" s="3516">
        <v>-1081.57</v>
      </c>
      <c r="E63" s="900"/>
    </row>
    <row r="64" spans="1:6" ht="13.8" thickBot="1">
      <c r="A64" s="3499" t="s">
        <v>1249</v>
      </c>
      <c r="B64" s="3531">
        <v>32316441114.029999</v>
      </c>
      <c r="C64" s="3531">
        <v>461419605</v>
      </c>
      <c r="D64" s="3531">
        <v>5019680991.9500008</v>
      </c>
      <c r="E64" s="900"/>
    </row>
    <row r="65" spans="1:5" ht="13.8" thickTop="1">
      <c r="A65" s="1563"/>
      <c r="B65" s="3498"/>
      <c r="C65" s="3498"/>
      <c r="D65" s="3498"/>
      <c r="E65" s="900"/>
    </row>
    <row r="66" spans="1:5">
      <c r="A66" s="3500" t="s">
        <v>1460</v>
      </c>
      <c r="B66" s="1563"/>
      <c r="C66" s="1563"/>
      <c r="D66" s="1563"/>
      <c r="E66" s="900"/>
    </row>
    <row r="67" spans="1:5">
      <c r="A67" s="3500" t="s">
        <v>880</v>
      </c>
      <c r="B67" s="1563"/>
      <c r="C67" s="1563"/>
      <c r="D67" s="1563"/>
      <c r="E67" s="900"/>
    </row>
    <row r="68" spans="1:5" ht="13.35" customHeight="1">
      <c r="A68" s="3501" t="s">
        <v>852</v>
      </c>
      <c r="B68" s="1563"/>
      <c r="C68" s="1563"/>
      <c r="D68" s="1563"/>
    </row>
    <row r="69" spans="1:5" ht="12.75" customHeight="1">
      <c r="A69" s="3502" t="s">
        <v>853</v>
      </c>
      <c r="B69" s="1563"/>
      <c r="C69" s="1563"/>
      <c r="D69" s="3503"/>
    </row>
    <row r="70" spans="1:5">
      <c r="A70" s="3502" t="s">
        <v>854</v>
      </c>
      <c r="B70" s="1563"/>
      <c r="C70" s="1563"/>
      <c r="D70" s="3498"/>
    </row>
    <row r="71" spans="1:5">
      <c r="B71" s="907"/>
      <c r="C71" s="1567"/>
      <c r="D71" s="904"/>
    </row>
    <row r="72" spans="1:5">
      <c r="A72" s="902"/>
      <c r="B72" s="903"/>
      <c r="C72" s="3786"/>
      <c r="D72" s="3786"/>
    </row>
    <row r="73" spans="1:5">
      <c r="A73" s="902"/>
      <c r="B73" s="903"/>
      <c r="C73" s="3786"/>
      <c r="D73" s="3786"/>
    </row>
    <row r="74" spans="1:5">
      <c r="C74" s="3498"/>
      <c r="D74" s="3498"/>
    </row>
    <row r="75" spans="1:5">
      <c r="A75" s="903"/>
      <c r="B75" s="905"/>
      <c r="C75" s="3787"/>
      <c r="D75" s="3787"/>
    </row>
    <row r="76" spans="1:5" ht="12.75" customHeight="1">
      <c r="A76" s="903"/>
      <c r="B76" s="905"/>
      <c r="C76" s="3696"/>
      <c r="D76" s="3696"/>
    </row>
    <row r="77" spans="1:5" ht="12.75" customHeight="1">
      <c r="A77" s="903"/>
      <c r="B77" s="905"/>
      <c r="C77" s="3696" t="s">
        <v>14</v>
      </c>
      <c r="D77" s="905"/>
    </row>
    <row r="78" spans="1:5" ht="12.75" customHeight="1">
      <c r="A78" s="903"/>
      <c r="B78" s="905"/>
      <c r="C78" s="905"/>
      <c r="D78" s="905"/>
    </row>
    <row r="79" spans="1:5">
      <c r="A79" s="903"/>
      <c r="B79" s="905"/>
      <c r="C79" s="905"/>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R55"/>
  <sheetViews>
    <sheetView showGridLines="0" zoomScale="90" zoomScaleNormal="70" workbookViewId="0"/>
  </sheetViews>
  <sheetFormatPr defaultColWidth="8.81640625" defaultRowHeight="15" customHeight="1"/>
  <cols>
    <col min="1" max="1" width="55.08984375" style="1259" customWidth="1"/>
    <col min="2" max="2" width="4.81640625" style="1259" customWidth="1"/>
    <col min="3" max="3" width="21" style="1260" customWidth="1"/>
    <col min="4" max="4" width="1.81640625" style="1259" customWidth="1"/>
    <col min="5" max="5" width="21" style="1260" customWidth="1"/>
    <col min="6" max="6" width="1.81640625" style="1259" customWidth="1"/>
    <col min="7" max="7" width="21" style="1260" customWidth="1"/>
    <col min="8" max="8" width="1.81640625" style="1260" customWidth="1"/>
    <col min="9" max="9" width="21" style="1260" customWidth="1"/>
    <col min="10" max="10" width="1.81640625" style="1259" customWidth="1"/>
    <col min="11" max="11" width="1.81640625" style="1261" customWidth="1"/>
    <col min="12" max="12" width="20.08984375" style="1261" customWidth="1"/>
    <col min="13" max="13" width="8.81640625" style="1260"/>
    <col min="14" max="14" width="14.54296875" style="1259" bestFit="1" customWidth="1"/>
    <col min="15" max="16384" width="8.81640625" style="1259"/>
  </cols>
  <sheetData>
    <row r="1" spans="1:14" ht="15" customHeight="1">
      <c r="A1" s="635" t="s">
        <v>881</v>
      </c>
    </row>
    <row r="2" spans="1:14" ht="15" customHeight="1">
      <c r="A2" s="1262"/>
    </row>
    <row r="3" spans="1:14" ht="15" customHeight="1">
      <c r="L3" s="1340" t="s">
        <v>504</v>
      </c>
    </row>
    <row r="4" spans="1:14" ht="19.5" customHeight="1">
      <c r="A4" s="1931" t="s">
        <v>490</v>
      </c>
      <c r="B4" s="1263"/>
      <c r="C4" s="1263"/>
      <c r="D4" s="1263"/>
      <c r="E4" s="1263"/>
      <c r="F4" s="1263"/>
      <c r="G4" s="1263"/>
      <c r="H4" s="1263"/>
      <c r="I4" s="1263"/>
      <c r="J4" s="1263"/>
      <c r="K4" s="1342"/>
      <c r="L4" s="1342"/>
    </row>
    <row r="5" spans="1:14" ht="19.5" customHeight="1">
      <c r="A5" s="1931" t="s">
        <v>797</v>
      </c>
      <c r="B5" s="1931"/>
      <c r="C5" s="1931"/>
      <c r="D5" s="1931"/>
      <c r="E5" s="1931"/>
      <c r="F5" s="1931"/>
      <c r="G5" s="1931"/>
      <c r="H5" s="1931"/>
      <c r="I5" s="1931"/>
      <c r="J5" s="1931"/>
      <c r="K5" s="1341"/>
      <c r="L5" s="1931"/>
    </row>
    <row r="6" spans="1:14" ht="19.5" customHeight="1">
      <c r="A6" s="1931" t="str">
        <f>'HCRA PROG DISB'!A6</f>
        <v xml:space="preserve">FISCAL YEAR 2021-2022   </v>
      </c>
      <c r="B6" s="1932"/>
      <c r="C6" s="1932"/>
      <c r="D6" s="1932"/>
      <c r="E6" s="1932"/>
      <c r="F6" s="1932"/>
      <c r="G6" s="1932"/>
      <c r="H6" s="1932"/>
      <c r="I6" s="1932"/>
      <c r="J6" s="1932"/>
      <c r="K6" s="1341"/>
      <c r="L6" s="1931"/>
    </row>
    <row r="7" spans="1:14" ht="15" customHeight="1">
      <c r="A7" s="1933"/>
      <c r="B7" s="1933"/>
      <c r="C7" s="1933"/>
      <c r="D7" s="1933"/>
      <c r="E7" s="1933"/>
      <c r="F7" s="1933"/>
      <c r="G7" s="1933"/>
      <c r="H7" s="1933"/>
      <c r="I7" s="1933"/>
      <c r="J7" s="1933"/>
      <c r="K7" s="1343"/>
      <c r="L7" s="1343"/>
    </row>
    <row r="8" spans="1:14" ht="15" customHeight="1">
      <c r="A8" s="1265"/>
      <c r="B8" s="1266"/>
      <c r="C8" s="1267"/>
      <c r="D8" s="1266"/>
      <c r="E8" s="1267"/>
      <c r="F8" s="1266"/>
      <c r="G8" s="1267"/>
      <c r="H8" s="1267"/>
      <c r="I8" s="1267"/>
      <c r="J8" s="1266"/>
      <c r="K8" s="1344"/>
      <c r="L8" s="1268"/>
    </row>
    <row r="9" spans="1:14" s="1271" customFormat="1" ht="15" customHeight="1">
      <c r="A9" s="1269"/>
      <c r="B9" s="1269"/>
      <c r="C9" s="1614" t="s">
        <v>1506</v>
      </c>
      <c r="D9" s="1269"/>
      <c r="E9" s="1614" t="s">
        <v>1524</v>
      </c>
      <c r="F9" s="1269"/>
      <c r="G9" s="1614" t="s">
        <v>1590</v>
      </c>
      <c r="H9" s="1614"/>
      <c r="I9" s="1614">
        <v>2022</v>
      </c>
      <c r="J9" s="1269"/>
      <c r="K9" s="1270"/>
      <c r="L9" s="1270"/>
      <c r="M9" s="1258"/>
    </row>
    <row r="10" spans="1:14" ht="15" customHeight="1">
      <c r="A10" s="1272"/>
      <c r="B10" s="1272"/>
      <c r="C10" s="2207" t="s">
        <v>1507</v>
      </c>
      <c r="D10" s="1272"/>
      <c r="E10" s="2207" t="s">
        <v>1525</v>
      </c>
      <c r="F10" s="1272"/>
      <c r="G10" s="2207" t="s">
        <v>1591</v>
      </c>
      <c r="H10" s="1268"/>
      <c r="I10" s="2207" t="s">
        <v>132</v>
      </c>
      <c r="J10" s="1272"/>
      <c r="K10" s="1264"/>
      <c r="L10" s="1273" t="s">
        <v>1379</v>
      </c>
    </row>
    <row r="11" spans="1:14" ht="15" customHeight="1">
      <c r="A11" s="1272"/>
      <c r="B11" s="1272"/>
      <c r="C11" s="1264"/>
      <c r="D11" s="1272"/>
      <c r="E11" s="1264"/>
      <c r="F11" s="1272"/>
      <c r="G11" s="1264"/>
      <c r="H11" s="1264"/>
      <c r="I11" s="1264"/>
      <c r="J11" s="1272"/>
      <c r="K11" s="1264"/>
      <c r="L11" s="1872"/>
    </row>
    <row r="12" spans="1:14" s="1271" customFormat="1" ht="15" customHeight="1">
      <c r="A12" s="1275" t="s">
        <v>467</v>
      </c>
      <c r="B12" s="1275"/>
      <c r="C12" s="1276">
        <v>293876869.61000001</v>
      </c>
      <c r="D12" s="1275"/>
      <c r="E12" s="1276">
        <f>C52</f>
        <v>340535703.17000002</v>
      </c>
      <c r="F12" s="1275"/>
      <c r="G12" s="1276">
        <f>E52</f>
        <v>347835282.30000001</v>
      </c>
      <c r="H12" s="1276"/>
      <c r="I12" s="1276">
        <f>G52</f>
        <v>342755057.12</v>
      </c>
      <c r="J12" s="1275"/>
      <c r="K12" s="1277"/>
      <c r="L12" s="1345">
        <f>C12</f>
        <v>293876869.61000001</v>
      </c>
      <c r="M12" s="1258"/>
    </row>
    <row r="13" spans="1:14" ht="15" customHeight="1">
      <c r="A13" s="1275"/>
      <c r="B13" s="1272"/>
      <c r="C13" s="1274"/>
      <c r="D13" s="1272"/>
      <c r="E13" s="1274"/>
      <c r="F13" s="1272"/>
      <c r="G13" s="1274"/>
      <c r="H13" s="1274"/>
      <c r="I13" s="1274"/>
      <c r="J13" s="1272"/>
      <c r="K13" s="1278"/>
      <c r="L13" s="1281"/>
    </row>
    <row r="14" spans="1:14" ht="15" customHeight="1">
      <c r="A14" s="1275" t="s">
        <v>13</v>
      </c>
      <c r="B14" s="1272"/>
      <c r="C14" s="1279"/>
      <c r="D14" s="1272"/>
      <c r="E14" s="1279"/>
      <c r="F14" s="1272"/>
      <c r="G14" s="1279"/>
      <c r="H14" s="1279"/>
      <c r="I14" s="1279"/>
      <c r="J14" s="1272"/>
      <c r="K14" s="1280"/>
      <c r="L14" s="1281"/>
    </row>
    <row r="15" spans="1:14" ht="15" customHeight="1">
      <c r="A15" s="1272" t="s">
        <v>506</v>
      </c>
      <c r="B15" s="1272"/>
      <c r="C15" s="1247">
        <v>989188683.61000001</v>
      </c>
      <c r="D15" s="1272"/>
      <c r="E15" s="1247">
        <v>989460559.23999989</v>
      </c>
      <c r="F15" s="1272"/>
      <c r="G15" s="1247">
        <v>976844384.69000006</v>
      </c>
      <c r="H15" s="1247"/>
      <c r="I15" s="1247">
        <v>385278547.60000002</v>
      </c>
      <c r="J15" s="1272"/>
      <c r="K15" s="1280"/>
      <c r="L15" s="1281">
        <f>SUM(C15:K15)</f>
        <v>3340772175.1399999</v>
      </c>
      <c r="N15" s="1290"/>
    </row>
    <row r="16" spans="1:14" ht="15" customHeight="1">
      <c r="A16" s="1272" t="s">
        <v>507</v>
      </c>
      <c r="B16" s="1272"/>
      <c r="C16" s="1247">
        <v>249351336.47999996</v>
      </c>
      <c r="D16" s="1272"/>
      <c r="E16" s="1247">
        <v>245107517.30000001</v>
      </c>
      <c r="F16" s="1272"/>
      <c r="G16" s="1247">
        <v>246716539.78</v>
      </c>
      <c r="H16" s="1247"/>
      <c r="I16" s="1247">
        <v>84763694.060000002</v>
      </c>
      <c r="J16" s="1272"/>
      <c r="K16" s="1280"/>
      <c r="L16" s="1281">
        <f t="shared" ref="L16:L21" si="0">SUM(C16:K16)</f>
        <v>825939087.61999989</v>
      </c>
      <c r="N16" s="1290"/>
    </row>
    <row r="17" spans="1:18" ht="15" customHeight="1">
      <c r="A17" s="1272" t="s">
        <v>508</v>
      </c>
      <c r="B17" s="1272"/>
      <c r="C17" s="1247">
        <v>26801341.23</v>
      </c>
      <c r="D17" s="1272"/>
      <c r="E17" s="1247">
        <v>25160359.600000005</v>
      </c>
      <c r="F17" s="1272"/>
      <c r="G17" s="1247">
        <v>26225064.52</v>
      </c>
      <c r="H17" s="1247"/>
      <c r="I17" s="1247">
        <v>8126032.6999999993</v>
      </c>
      <c r="J17" s="1272"/>
      <c r="K17" s="1280"/>
      <c r="L17" s="1281">
        <f t="shared" si="0"/>
        <v>86312798.050000012</v>
      </c>
      <c r="N17" s="1290"/>
    </row>
    <row r="18" spans="1:18" ht="15" customHeight="1">
      <c r="A18" s="1272" t="s">
        <v>509</v>
      </c>
      <c r="B18" s="1272"/>
      <c r="C18" s="1247">
        <v>119091702</v>
      </c>
      <c r="D18" s="1272"/>
      <c r="E18" s="1247">
        <v>112444913</v>
      </c>
      <c r="F18" s="1272"/>
      <c r="G18" s="1247">
        <v>114095331</v>
      </c>
      <c r="H18" s="1247"/>
      <c r="I18" s="1247">
        <v>36383603</v>
      </c>
      <c r="J18" s="1272"/>
      <c r="K18" s="1280"/>
      <c r="L18" s="1281">
        <f t="shared" si="0"/>
        <v>382015549</v>
      </c>
      <c r="N18" s="1290"/>
    </row>
    <row r="19" spans="1:18" s="1465" customFormat="1">
      <c r="A19" s="1466" t="s">
        <v>510</v>
      </c>
      <c r="B19" s="1272"/>
      <c r="C19" s="779">
        <v>0</v>
      </c>
      <c r="D19" s="1272"/>
      <c r="E19" s="779">
        <v>0</v>
      </c>
      <c r="F19" s="1272"/>
      <c r="G19" s="779">
        <v>0</v>
      </c>
      <c r="H19" s="779"/>
      <c r="I19" s="779">
        <v>0</v>
      </c>
      <c r="J19" s="1272"/>
      <c r="K19" s="1280"/>
      <c r="L19" s="1281">
        <f t="shared" si="0"/>
        <v>0</v>
      </c>
      <c r="M19" s="1260"/>
      <c r="N19" s="1290"/>
    </row>
    <row r="20" spans="1:18" ht="15" customHeight="1">
      <c r="A20" s="1272" t="s">
        <v>511</v>
      </c>
      <c r="B20" s="1272"/>
      <c r="C20" s="1247">
        <v>3690.3</v>
      </c>
      <c r="D20" s="1272"/>
      <c r="E20" s="1247">
        <v>3685.6299999999992</v>
      </c>
      <c r="F20" s="1272"/>
      <c r="G20" s="1247">
        <v>3735.71</v>
      </c>
      <c r="H20" s="1247"/>
      <c r="I20" s="1247">
        <v>1324.08</v>
      </c>
      <c r="J20" s="1272"/>
      <c r="K20" s="1280"/>
      <c r="L20" s="1281">
        <f t="shared" si="0"/>
        <v>12435.72</v>
      </c>
      <c r="N20" s="1290"/>
    </row>
    <row r="21" spans="1:18" ht="15" customHeight="1">
      <c r="A21" s="1272" t="s">
        <v>512</v>
      </c>
      <c r="B21" s="1272"/>
      <c r="C21" s="1938">
        <v>-357587.65999999922</v>
      </c>
      <c r="D21" s="1272"/>
      <c r="E21" s="1938">
        <v>-876908.00000000093</v>
      </c>
      <c r="F21" s="1272"/>
      <c r="G21" s="1938">
        <v>-42675.31</v>
      </c>
      <c r="H21" s="1250"/>
      <c r="I21" s="1938">
        <v>348519.94</v>
      </c>
      <c r="J21" s="1272"/>
      <c r="K21" s="1282"/>
      <c r="L21" s="1281">
        <f t="shared" si="0"/>
        <v>-928651.03000000026</v>
      </c>
      <c r="N21" s="1290"/>
    </row>
    <row r="22" spans="1:18" s="1271" customFormat="1" ht="15.6">
      <c r="A22" s="1275" t="s">
        <v>149</v>
      </c>
      <c r="B22" s="1275"/>
      <c r="C22" s="1939">
        <f>ROUND(SUM(C15:C21),2)</f>
        <v>1384079165.96</v>
      </c>
      <c r="D22" s="1275"/>
      <c r="E22" s="1939">
        <f>ROUND(SUM(E15:E21),2)</f>
        <v>1371300126.77</v>
      </c>
      <c r="F22" s="1275"/>
      <c r="G22" s="1939">
        <f>ROUND(SUM(G15:G21),2)</f>
        <v>1363842380.3900001</v>
      </c>
      <c r="H22" s="1284"/>
      <c r="I22" s="1939">
        <f>ROUND(SUM(I15:I21),2)</f>
        <v>514901721.38</v>
      </c>
      <c r="J22" s="1275"/>
      <c r="K22" s="1283"/>
      <c r="L22" s="1873">
        <f>ROUND(SUM(L15:L21),2)</f>
        <v>4634123394.5</v>
      </c>
      <c r="M22" s="1260"/>
      <c r="N22" s="1290"/>
    </row>
    <row r="23" spans="1:18" ht="15" customHeight="1">
      <c r="A23" s="1272"/>
      <c r="B23" s="1272"/>
      <c r="C23" s="1279"/>
      <c r="D23" s="1272"/>
      <c r="E23" s="1279"/>
      <c r="F23" s="1272"/>
      <c r="G23" s="1279"/>
      <c r="H23" s="1279"/>
      <c r="I23" s="1279"/>
      <c r="J23" s="1272"/>
      <c r="K23" s="1280"/>
      <c r="L23" s="1281"/>
      <c r="N23" s="1290"/>
    </row>
    <row r="24" spans="1:18" ht="15" customHeight="1">
      <c r="A24" s="1275" t="s">
        <v>848</v>
      </c>
      <c r="B24" s="1272"/>
      <c r="C24" s="1286"/>
      <c r="D24" s="1272"/>
      <c r="E24" s="1286"/>
      <c r="F24" s="1272"/>
      <c r="G24" s="1286"/>
      <c r="H24" s="1286"/>
      <c r="I24" s="1286"/>
      <c r="J24" s="1272"/>
      <c r="K24" s="1280"/>
      <c r="L24" s="1281"/>
      <c r="N24" s="1290"/>
    </row>
    <row r="25" spans="1:18" ht="15" customHeight="1">
      <c r="A25" s="1287" t="s">
        <v>513</v>
      </c>
      <c r="B25" s="1272"/>
      <c r="C25" s="1279">
        <v>0</v>
      </c>
      <c r="D25" s="1272"/>
      <c r="E25" s="1279">
        <v>0</v>
      </c>
      <c r="F25" s="1272"/>
      <c r="G25" s="1279">
        <v>0</v>
      </c>
      <c r="H25" s="1279"/>
      <c r="I25" s="1279">
        <v>0</v>
      </c>
      <c r="J25" s="1272"/>
      <c r="K25" s="1280"/>
      <c r="L25" s="1281">
        <f>SUM(C25:K25)</f>
        <v>0</v>
      </c>
      <c r="N25" s="1290"/>
    </row>
    <row r="26" spans="1:18" ht="15" customHeight="1">
      <c r="A26" s="1287" t="s">
        <v>514</v>
      </c>
      <c r="B26" s="1272"/>
      <c r="C26" s="1279">
        <v>0</v>
      </c>
      <c r="D26" s="1272"/>
      <c r="E26" s="1279">
        <v>0</v>
      </c>
      <c r="F26" s="1272"/>
      <c r="G26" s="1279">
        <v>0</v>
      </c>
      <c r="H26" s="1279"/>
      <c r="I26" s="1279">
        <v>0</v>
      </c>
      <c r="J26" s="1272"/>
      <c r="K26" s="1280"/>
      <c r="L26" s="1281">
        <f>SUM(C26:K26)</f>
        <v>0</v>
      </c>
      <c r="N26" s="1290"/>
    </row>
    <row r="27" spans="1:18" ht="15" customHeight="1">
      <c r="A27" s="1287" t="s">
        <v>515</v>
      </c>
      <c r="B27" s="1272"/>
      <c r="C27" s="1279">
        <v>0</v>
      </c>
      <c r="D27" s="1272"/>
      <c r="E27" s="1279">
        <v>0</v>
      </c>
      <c r="F27" s="1272"/>
      <c r="G27" s="1279">
        <v>0</v>
      </c>
      <c r="H27" s="1279"/>
      <c r="I27" s="1279">
        <v>0</v>
      </c>
      <c r="J27" s="1272"/>
      <c r="K27" s="1282"/>
      <c r="L27" s="1281">
        <f>SUM(C27:K27)</f>
        <v>0</v>
      </c>
      <c r="N27" s="1290"/>
    </row>
    <row r="28" spans="1:18" ht="15.6">
      <c r="A28" s="1263" t="s">
        <v>886</v>
      </c>
      <c r="B28" s="1275"/>
      <c r="C28" s="1873">
        <f>ROUND(SUM(C25:C27),2)</f>
        <v>0</v>
      </c>
      <c r="D28" s="1275"/>
      <c r="E28" s="1873">
        <f>ROUND(SUM(E25:E27),2)</f>
        <v>0</v>
      </c>
      <c r="F28" s="1275"/>
      <c r="G28" s="1873">
        <f>ROUND(SUM(G25:G27),2)</f>
        <v>0</v>
      </c>
      <c r="H28" s="1284"/>
      <c r="I28" s="1873">
        <f>ROUND(SUM(I25:I27),2)</f>
        <v>0</v>
      </c>
      <c r="J28" s="1275"/>
      <c r="K28" s="1283"/>
      <c r="L28" s="1873">
        <f>ROUND(SUM(L25:L27),2)</f>
        <v>0</v>
      </c>
      <c r="N28" s="1290"/>
    </row>
    <row r="29" spans="1:18" ht="15" customHeight="1">
      <c r="A29" s="1272"/>
      <c r="B29" s="1272"/>
      <c r="C29" s="1279"/>
      <c r="D29" s="1272"/>
      <c r="E29" s="1279"/>
      <c r="F29" s="1272"/>
      <c r="G29" s="1279"/>
      <c r="H29" s="1279"/>
      <c r="I29" s="1279"/>
      <c r="J29" s="1272"/>
      <c r="K29" s="1280"/>
      <c r="L29" s="1281"/>
      <c r="N29" s="1290"/>
    </row>
    <row r="30" spans="1:18" ht="15" customHeight="1">
      <c r="A30" s="1275" t="s">
        <v>516</v>
      </c>
      <c r="B30" s="1275"/>
      <c r="C30" s="2209">
        <f>ROUND(+C22+C28,2)</f>
        <v>1384079165.96</v>
      </c>
      <c r="D30" s="1275"/>
      <c r="E30" s="2209">
        <f>ROUND(+E22+E28,2)</f>
        <v>1371300126.77</v>
      </c>
      <c r="F30" s="1275"/>
      <c r="G30" s="2209">
        <f>ROUND(+G22+G28,2)</f>
        <v>1363842380.3900001</v>
      </c>
      <c r="H30" s="1284"/>
      <c r="I30" s="2209">
        <f>ROUND(+I22+I28,2)</f>
        <v>514901721.38</v>
      </c>
      <c r="J30" s="1275"/>
      <c r="K30" s="1288"/>
      <c r="L30" s="1284">
        <f>ROUND(+L22+L28,2)</f>
        <v>4634123394.5</v>
      </c>
      <c r="N30" s="1290"/>
    </row>
    <row r="31" spans="1:18" ht="15" customHeight="1">
      <c r="A31" s="1272"/>
      <c r="B31" s="1272"/>
      <c r="C31" s="1281"/>
      <c r="D31" s="1272"/>
      <c r="E31" s="1281"/>
      <c r="F31" s="1272"/>
      <c r="G31" s="1281"/>
      <c r="H31" s="1281"/>
      <c r="I31" s="1281"/>
      <c r="J31" s="1272"/>
      <c r="K31" s="1280"/>
      <c r="L31" s="1874"/>
      <c r="M31" s="1261"/>
      <c r="N31" s="1290"/>
      <c r="O31" s="1289"/>
      <c r="P31" s="1289"/>
      <c r="Q31" s="1289"/>
      <c r="R31" s="1289"/>
    </row>
    <row r="32" spans="1:18" ht="15" customHeight="1">
      <c r="A32" s="1275" t="s">
        <v>45</v>
      </c>
      <c r="B32" s="1272"/>
      <c r="C32" s="1281"/>
      <c r="D32" s="1272"/>
      <c r="E32" s="1281"/>
      <c r="F32" s="1272"/>
      <c r="G32" s="1281"/>
      <c r="H32" s="1281"/>
      <c r="I32" s="1281"/>
      <c r="J32" s="1272"/>
      <c r="K32" s="1280"/>
      <c r="L32" s="1281"/>
      <c r="M32" s="1261"/>
      <c r="N32" s="1290"/>
      <c r="O32" s="1289"/>
      <c r="P32" s="1289"/>
      <c r="Q32" s="1289"/>
      <c r="R32" s="1289"/>
    </row>
    <row r="33" spans="1:18" ht="15" customHeight="1">
      <c r="A33" s="1275" t="s">
        <v>798</v>
      </c>
      <c r="B33" s="1272"/>
      <c r="C33" s="1281"/>
      <c r="D33" s="1272"/>
      <c r="E33" s="1281"/>
      <c r="F33" s="1272"/>
      <c r="G33" s="1281"/>
      <c r="H33" s="1281"/>
      <c r="I33" s="1281"/>
      <c r="J33" s="1272"/>
      <c r="K33" s="1280"/>
      <c r="L33" s="1281"/>
      <c r="M33" s="1261"/>
      <c r="N33" s="1290"/>
      <c r="O33" s="1289"/>
      <c r="P33" s="1289"/>
      <c r="Q33" s="1289"/>
      <c r="R33" s="1289"/>
    </row>
    <row r="34" spans="1:18" ht="15" customHeight="1">
      <c r="A34" s="1272" t="s">
        <v>517</v>
      </c>
      <c r="B34" s="1272"/>
      <c r="C34" s="1247">
        <v>0</v>
      </c>
      <c r="D34" s="1272"/>
      <c r="E34" s="1247">
        <v>0</v>
      </c>
      <c r="F34" s="1272"/>
      <c r="G34" s="1247">
        <v>0</v>
      </c>
      <c r="H34" s="1247"/>
      <c r="I34" s="1247">
        <v>0</v>
      </c>
      <c r="J34" s="1272"/>
      <c r="K34" s="1280"/>
      <c r="L34" s="1281">
        <f>SUM(C34:K34)</f>
        <v>0</v>
      </c>
      <c r="M34" s="1261"/>
      <c r="N34" s="1290"/>
      <c r="O34" s="1289"/>
      <c r="P34" s="1289"/>
      <c r="Q34" s="1289"/>
      <c r="R34" s="1289"/>
    </row>
    <row r="35" spans="1:18" ht="15" customHeight="1">
      <c r="A35" s="1287" t="s">
        <v>518</v>
      </c>
      <c r="B35" s="1272"/>
      <c r="C35" s="1247">
        <v>12373155</v>
      </c>
      <c r="D35" s="1272"/>
      <c r="E35" s="1247">
        <v>14145926</v>
      </c>
      <c r="F35" s="1272"/>
      <c r="G35" s="1247">
        <v>13589354</v>
      </c>
      <c r="H35" s="1247"/>
      <c r="I35" s="1247">
        <v>4742637</v>
      </c>
      <c r="J35" s="1272"/>
      <c r="K35" s="1280"/>
      <c r="L35" s="1281">
        <f>SUM(C35:K35)</f>
        <v>44851072</v>
      </c>
      <c r="M35" s="1261"/>
      <c r="N35" s="1290"/>
      <c r="O35" s="1289"/>
      <c r="P35" s="1289"/>
      <c r="Q35" s="1289"/>
      <c r="R35" s="1289"/>
    </row>
    <row r="36" spans="1:18" ht="15" customHeight="1">
      <c r="A36" s="1275" t="s">
        <v>519</v>
      </c>
      <c r="B36" s="1272"/>
      <c r="C36" s="1281"/>
      <c r="D36" s="1272"/>
      <c r="E36" s="1281"/>
      <c r="F36" s="1272"/>
      <c r="G36" s="1281"/>
      <c r="H36" s="1281"/>
      <c r="I36" s="1281"/>
      <c r="J36" s="1272"/>
      <c r="K36" s="1280"/>
      <c r="L36" s="1281"/>
      <c r="M36" s="1261"/>
      <c r="N36" s="1290"/>
      <c r="O36" s="1289"/>
      <c r="P36" s="1289"/>
      <c r="Q36" s="1289"/>
      <c r="R36" s="1289"/>
    </row>
    <row r="37" spans="1:18" ht="15" customHeight="1">
      <c r="A37" s="1239" t="s">
        <v>520</v>
      </c>
      <c r="B37" s="1272"/>
      <c r="C37" s="1290">
        <v>0</v>
      </c>
      <c r="D37" s="1272"/>
      <c r="E37" s="1290">
        <v>0</v>
      </c>
      <c r="F37" s="1272"/>
      <c r="G37" s="1290">
        <v>0</v>
      </c>
      <c r="H37" s="1290"/>
      <c r="I37" s="1290">
        <v>0</v>
      </c>
      <c r="J37" s="1272"/>
      <c r="K37" s="1280"/>
      <c r="L37" s="1281">
        <f>SUM(C37:K37)</f>
        <v>0</v>
      </c>
      <c r="M37" s="1261"/>
      <c r="N37" s="1290"/>
      <c r="O37" s="1289"/>
      <c r="P37" s="1289"/>
      <c r="Q37" s="1289"/>
      <c r="R37" s="1289"/>
    </row>
    <row r="38" spans="1:18" s="1271" customFormat="1" ht="15.6">
      <c r="A38" s="1275" t="s">
        <v>521</v>
      </c>
      <c r="B38" s="1275"/>
      <c r="C38" s="1873">
        <f>ROUND(SUM(C34:C37),2)</f>
        <v>12373155</v>
      </c>
      <c r="D38" s="1275"/>
      <c r="E38" s="1873">
        <f>ROUND(SUM(E34:E37),2)</f>
        <v>14145926</v>
      </c>
      <c r="F38" s="1275"/>
      <c r="G38" s="1873">
        <f>ROUND(SUM(G34:G37),2)</f>
        <v>13589354</v>
      </c>
      <c r="H38" s="1284"/>
      <c r="I38" s="1873">
        <f>ROUND(SUM(I34:I37),2)</f>
        <v>4742637</v>
      </c>
      <c r="J38" s="1275"/>
      <c r="K38" s="1283"/>
      <c r="L38" s="1873">
        <f>ROUND(SUM(L34:L37),2)</f>
        <v>44851072</v>
      </c>
      <c r="M38" s="1285"/>
      <c r="N38" s="1290"/>
      <c r="O38" s="1291"/>
      <c r="P38" s="1291"/>
      <c r="Q38" s="1291"/>
      <c r="R38" s="1291"/>
    </row>
    <row r="39" spans="1:18" ht="15" customHeight="1">
      <c r="A39" s="1272"/>
      <c r="B39" s="1272"/>
      <c r="C39" s="1279"/>
      <c r="D39" s="1272"/>
      <c r="E39" s="1279"/>
      <c r="F39" s="1272"/>
      <c r="G39" s="1279"/>
      <c r="H39" s="1279"/>
      <c r="I39" s="1279"/>
      <c r="J39" s="1272"/>
      <c r="K39" s="1280"/>
      <c r="L39" s="1281"/>
      <c r="M39" s="1261"/>
      <c r="N39" s="1290"/>
      <c r="O39" s="1289"/>
      <c r="P39" s="1289"/>
      <c r="Q39" s="1289"/>
      <c r="R39" s="1289"/>
    </row>
    <row r="40" spans="1:18" ht="15" customHeight="1">
      <c r="A40" s="1275" t="s">
        <v>849</v>
      </c>
      <c r="B40" s="1272"/>
      <c r="C40" s="1279"/>
      <c r="D40" s="1272"/>
      <c r="E40" s="1279"/>
      <c r="F40" s="1272"/>
      <c r="G40" s="1279"/>
      <c r="H40" s="1279"/>
      <c r="I40" s="1279"/>
      <c r="J40" s="1272"/>
      <c r="K40" s="1280"/>
      <c r="L40" s="1281"/>
      <c r="M40" s="1261"/>
      <c r="N40" s="1290"/>
      <c r="O40" s="1289"/>
      <c r="P40" s="1289"/>
      <c r="Q40" s="1289"/>
      <c r="R40" s="1289"/>
    </row>
    <row r="41" spans="1:18" ht="15" customHeight="1">
      <c r="A41" s="1272" t="s">
        <v>517</v>
      </c>
      <c r="B41" s="1272"/>
      <c r="C41" s="1240">
        <v>0</v>
      </c>
      <c r="D41" s="1272"/>
      <c r="E41" s="1240">
        <v>0</v>
      </c>
      <c r="F41" s="1272"/>
      <c r="G41" s="1240">
        <v>0</v>
      </c>
      <c r="H41" s="1240"/>
      <c r="I41" s="1240">
        <v>0</v>
      </c>
      <c r="J41" s="1272"/>
      <c r="K41" s="1280"/>
      <c r="L41" s="1281">
        <f>SUM(C41:K41)</f>
        <v>0</v>
      </c>
      <c r="M41" s="1261"/>
      <c r="N41" s="1290"/>
      <c r="O41" s="1289"/>
      <c r="P41" s="1289"/>
      <c r="Q41" s="1289"/>
      <c r="R41" s="1289"/>
    </row>
    <row r="42" spans="1:18" ht="15" customHeight="1">
      <c r="A42" s="1272" t="s">
        <v>522</v>
      </c>
      <c r="B42" s="1272"/>
      <c r="C42" s="1279">
        <v>0</v>
      </c>
      <c r="D42" s="1272"/>
      <c r="E42" s="1279">
        <v>0</v>
      </c>
      <c r="F42" s="1272"/>
      <c r="G42" s="1279">
        <v>0</v>
      </c>
      <c r="H42" s="1279"/>
      <c r="I42" s="1279">
        <v>0</v>
      </c>
      <c r="J42" s="1272"/>
      <c r="K42" s="1280"/>
      <c r="L42" s="1281">
        <f>SUM(C42:K42)</f>
        <v>0</v>
      </c>
      <c r="M42" s="1261"/>
      <c r="N42" s="1290"/>
      <c r="O42" s="1289"/>
      <c r="P42" s="1289"/>
      <c r="Q42" s="1289"/>
      <c r="R42" s="1289"/>
    </row>
    <row r="43" spans="1:18" ht="15" customHeight="1">
      <c r="A43" s="1275" t="s">
        <v>850</v>
      </c>
      <c r="B43" s="1272"/>
      <c r="C43" s="1279"/>
      <c r="D43" s="1272"/>
      <c r="E43" s="1279"/>
      <c r="F43" s="1272"/>
      <c r="G43" s="1279"/>
      <c r="H43" s="1279"/>
      <c r="I43" s="1279"/>
      <c r="J43" s="1272"/>
      <c r="K43" s="1280"/>
      <c r="L43" s="1281"/>
      <c r="M43" s="1261"/>
      <c r="N43" s="1290"/>
      <c r="O43" s="1289"/>
      <c r="P43" s="1289"/>
      <c r="Q43" s="1289"/>
      <c r="R43" s="1289"/>
    </row>
    <row r="44" spans="1:18" ht="15" customHeight="1">
      <c r="A44" s="1287" t="s">
        <v>520</v>
      </c>
      <c r="B44" s="1272"/>
      <c r="C44" s="1247">
        <v>-1349793487.4000001</v>
      </c>
      <c r="D44" s="1272"/>
      <c r="E44" s="1247">
        <v>-1378146473.6399999</v>
      </c>
      <c r="F44" s="1272"/>
      <c r="G44" s="1247">
        <v>-1382511959.5700002</v>
      </c>
      <c r="H44" s="1247"/>
      <c r="I44" s="1247">
        <v>-419487366.95999998</v>
      </c>
      <c r="J44" s="1272"/>
      <c r="K44" s="1280"/>
      <c r="L44" s="1281">
        <f>SUM(C44:K44)</f>
        <v>-4529939287.5699997</v>
      </c>
      <c r="M44" s="1261"/>
      <c r="N44" s="1290"/>
      <c r="O44" s="1289"/>
      <c r="P44" s="1289"/>
      <c r="Q44" s="1289"/>
      <c r="R44" s="1289"/>
    </row>
    <row r="45" spans="1:18" ht="15" customHeight="1">
      <c r="A45" s="1272" t="s">
        <v>1189</v>
      </c>
      <c r="B45" s="1272"/>
      <c r="C45" s="1247">
        <v>0</v>
      </c>
      <c r="D45" s="1272"/>
      <c r="E45" s="1247">
        <v>0</v>
      </c>
      <c r="F45" s="1272"/>
      <c r="G45" s="1247">
        <v>0</v>
      </c>
      <c r="H45" s="1247"/>
      <c r="I45" s="1247">
        <v>0</v>
      </c>
      <c r="J45" s="1272"/>
      <c r="K45" s="1280"/>
      <c r="L45" s="1281">
        <f>SUM(C45:K45)</f>
        <v>0</v>
      </c>
      <c r="M45" s="1261"/>
      <c r="N45" s="1290"/>
      <c r="O45" s="1289"/>
      <c r="P45" s="1289"/>
      <c r="Q45" s="1289"/>
      <c r="R45" s="1289"/>
    </row>
    <row r="46" spans="1:18" ht="15" customHeight="1">
      <c r="A46" s="1272" t="s">
        <v>1190</v>
      </c>
      <c r="B46" s="1272"/>
      <c r="C46" s="1940">
        <v>0</v>
      </c>
      <c r="D46" s="1272"/>
      <c r="E46" s="1940">
        <v>0</v>
      </c>
      <c r="F46" s="1272"/>
      <c r="G46" s="1940">
        <v>0</v>
      </c>
      <c r="H46" s="1281"/>
      <c r="I46" s="1940">
        <v>0</v>
      </c>
      <c r="J46" s="1272"/>
      <c r="K46" s="1280"/>
      <c r="L46" s="1281">
        <f>SUM(C46:K46)</f>
        <v>0</v>
      </c>
      <c r="M46" s="1261"/>
      <c r="N46" s="1290"/>
      <c r="O46" s="1289"/>
      <c r="P46" s="1289"/>
      <c r="Q46" s="1289"/>
      <c r="R46" s="1289"/>
    </row>
    <row r="47" spans="1:18" ht="15.6">
      <c r="A47" s="1275" t="s">
        <v>523</v>
      </c>
      <c r="B47" s="1275"/>
      <c r="C47" s="1873">
        <f>ROUND(SUM(C41:C46),2)</f>
        <v>-1349793487.4000001</v>
      </c>
      <c r="D47" s="1275"/>
      <c r="E47" s="1873">
        <f>ROUND(SUM(E41:E46),2)</f>
        <v>-1378146473.6400001</v>
      </c>
      <c r="F47" s="1275"/>
      <c r="G47" s="1873">
        <f>ROUND(SUM(G41:G46),2)</f>
        <v>-1382511959.5699999</v>
      </c>
      <c r="H47" s="1284"/>
      <c r="I47" s="1873">
        <f>ROUND(SUM(I41:I46),2)</f>
        <v>-419487366.95999998</v>
      </c>
      <c r="J47" s="1275"/>
      <c r="K47" s="1283"/>
      <c r="L47" s="1873">
        <f>ROUND(SUM(L41:L46),2)</f>
        <v>-4529939287.5699997</v>
      </c>
      <c r="M47" s="1261"/>
      <c r="N47" s="1290"/>
      <c r="O47" s="1289"/>
      <c r="P47" s="1289"/>
      <c r="Q47" s="1289"/>
      <c r="R47" s="1289"/>
    </row>
    <row r="48" spans="1:18" ht="15" customHeight="1">
      <c r="A48" s="1272"/>
      <c r="B48" s="1272"/>
      <c r="C48" s="1279"/>
      <c r="D48" s="1272"/>
      <c r="E48" s="1279"/>
      <c r="F48" s="1272"/>
      <c r="G48" s="1279"/>
      <c r="H48" s="1279"/>
      <c r="I48" s="1279"/>
      <c r="J48" s="1272"/>
      <c r="K48" s="1280"/>
      <c r="L48" s="1281"/>
      <c r="M48" s="1261"/>
      <c r="N48" s="1290"/>
      <c r="O48" s="1289"/>
      <c r="P48" s="1289"/>
      <c r="Q48" s="1289"/>
      <c r="R48" s="1289"/>
    </row>
    <row r="49" spans="1:18" ht="15" customHeight="1">
      <c r="A49" s="1275" t="s">
        <v>524</v>
      </c>
      <c r="B49" s="1272"/>
      <c r="C49" s="1279"/>
      <c r="D49" s="1272"/>
      <c r="E49" s="1279"/>
      <c r="F49" s="1272"/>
      <c r="G49" s="1279"/>
      <c r="H49" s="1279"/>
      <c r="I49" s="1279"/>
      <c r="J49" s="1272"/>
      <c r="K49" s="1280"/>
      <c r="L49" s="1281"/>
      <c r="M49" s="1261"/>
      <c r="N49" s="1290"/>
      <c r="O49" s="1289"/>
      <c r="P49" s="1289"/>
      <c r="Q49" s="1289"/>
      <c r="R49" s="1289"/>
    </row>
    <row r="50" spans="1:18" ht="15" customHeight="1">
      <c r="A50" s="1275" t="s">
        <v>525</v>
      </c>
      <c r="B50" s="1272"/>
      <c r="C50" s="1939">
        <f>ROUND(+C30+C38+C47,2)</f>
        <v>46658833.560000002</v>
      </c>
      <c r="D50" s="1272"/>
      <c r="E50" s="1939">
        <f>ROUND(+E30+E38+E47,2)</f>
        <v>7299579.1299999999</v>
      </c>
      <c r="F50" s="1272"/>
      <c r="G50" s="1939">
        <f>ROUND(+G30+G38+G47,2)</f>
        <v>-5080225.18</v>
      </c>
      <c r="H50" s="1284"/>
      <c r="I50" s="1939">
        <f>ROUND(+I30+I38+I47,2)</f>
        <v>100156991.42</v>
      </c>
      <c r="J50" s="1272"/>
      <c r="K50" s="1288"/>
      <c r="L50" s="1939">
        <f>ROUND(+L30+L38+L47,2)</f>
        <v>149035178.93000001</v>
      </c>
      <c r="M50" s="1261"/>
      <c r="N50" s="1290"/>
      <c r="O50" s="1289"/>
      <c r="P50" s="1289"/>
      <c r="Q50" s="1289"/>
      <c r="R50" s="1289"/>
    </row>
    <row r="51" spans="1:18" ht="15" customHeight="1">
      <c r="A51" s="1272"/>
      <c r="B51" s="1272"/>
      <c r="C51" s="1274"/>
      <c r="D51" s="1272"/>
      <c r="E51" s="1274"/>
      <c r="F51" s="1272"/>
      <c r="G51" s="1274"/>
      <c r="H51" s="1274"/>
      <c r="I51" s="1274"/>
      <c r="J51" s="1272"/>
      <c r="K51" s="1292"/>
      <c r="L51" s="1281"/>
      <c r="M51" s="1261"/>
      <c r="N51" s="1290"/>
      <c r="O51" s="1289"/>
      <c r="P51" s="1289"/>
      <c r="Q51" s="1289"/>
      <c r="R51" s="1289"/>
    </row>
    <row r="52" spans="1:18" s="1271" customFormat="1" ht="21" customHeight="1" thickBot="1">
      <c r="A52" s="1275" t="s">
        <v>526</v>
      </c>
      <c r="B52" s="1275"/>
      <c r="C52" s="2208">
        <f>ROUND(C12+C50,2)</f>
        <v>340535703.17000002</v>
      </c>
      <c r="D52" s="1275"/>
      <c r="E52" s="2208">
        <f>ROUND(E12+E50,2)</f>
        <v>347835282.30000001</v>
      </c>
      <c r="F52" s="1275"/>
      <c r="G52" s="2208">
        <f>ROUND(G12+G50,2)</f>
        <v>342755057.12</v>
      </c>
      <c r="H52" s="1345"/>
      <c r="I52" s="2208">
        <f>ROUND(I12+I50,2)</f>
        <v>442912048.54000002</v>
      </c>
      <c r="J52" s="1275"/>
      <c r="K52" s="1293"/>
      <c r="L52" s="1345">
        <f>ROUND(L12+L50,2)</f>
        <v>442912048.54000002</v>
      </c>
      <c r="M52" s="1258"/>
      <c r="N52" s="1290"/>
    </row>
    <row r="53" spans="1:18" ht="15" customHeight="1" thickTop="1">
      <c r="A53" s="1272" t="s">
        <v>14</v>
      </c>
      <c r="B53" s="1272"/>
      <c r="C53" s="1264"/>
      <c r="D53" s="1272"/>
      <c r="E53" s="1264"/>
      <c r="F53" s="1272"/>
      <c r="G53" s="1264"/>
      <c r="H53" s="1264"/>
      <c r="I53" s="1264"/>
      <c r="J53" s="1272"/>
      <c r="K53" s="1264"/>
      <c r="L53" s="1294"/>
      <c r="N53" s="1290"/>
    </row>
    <row r="54" spans="1:18" ht="15" customHeight="1">
      <c r="A54" s="1255" t="s">
        <v>527</v>
      </c>
      <c r="N54" s="1290"/>
    </row>
    <row r="55" spans="1:18" ht="15" customHeight="1">
      <c r="A55" s="1295"/>
      <c r="N55" s="1290"/>
    </row>
  </sheetData>
  <printOptions horizontalCentered="1"/>
  <pageMargins left="0.24" right="0.24" top="0.5" bottom="0.5" header="0.18" footer="0.25"/>
  <pageSetup scale="59"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workbookViewId="0"/>
  </sheetViews>
  <sheetFormatPr defaultColWidth="8.81640625" defaultRowHeight="15"/>
  <cols>
    <col min="1" max="1" width="1.81640625" style="1215" customWidth="1"/>
    <col min="2" max="2" width="48" style="1215" customWidth="1"/>
    <col min="3" max="3" width="4.54296875" style="1216" customWidth="1"/>
    <col min="4" max="4" width="20.81640625" style="1217" customWidth="1"/>
    <col min="5" max="5" width="1.81640625" style="1217" customWidth="1"/>
    <col min="6" max="6" width="20.81640625" style="1217" customWidth="1"/>
    <col min="7" max="7" width="1.81640625" style="1217" customWidth="1"/>
    <col min="8" max="8" width="20.81640625" style="1217" customWidth="1"/>
    <col min="9" max="9" width="1.81640625" style="1217" customWidth="1"/>
    <col min="10" max="10" width="20.81640625" style="1217" customWidth="1"/>
    <col min="11" max="12" width="1.81640625" style="1217" customWidth="1"/>
    <col min="13" max="13" width="19" style="1217" customWidth="1"/>
    <col min="14" max="15" width="8.81640625" style="1216"/>
    <col min="16" max="16" width="1.81640625" style="1216" customWidth="1"/>
    <col min="17" max="16384" width="8.81640625" style="1215"/>
  </cols>
  <sheetData>
    <row r="1" spans="1:41">
      <c r="B1" s="635" t="s">
        <v>881</v>
      </c>
    </row>
    <row r="3" spans="1:41" ht="17.399999999999999">
      <c r="M3" s="1346" t="s">
        <v>505</v>
      </c>
    </row>
    <row r="4" spans="1:41" s="1220" customFormat="1" ht="18.75" customHeight="1">
      <c r="A4" s="1218"/>
      <c r="B4" s="1934" t="s">
        <v>490</v>
      </c>
      <c r="C4" s="1347"/>
      <c r="D4" s="1347"/>
      <c r="E4" s="3820"/>
      <c r="F4" s="1347"/>
      <c r="G4" s="3820"/>
      <c r="H4" s="1347"/>
      <c r="I4" s="1347"/>
      <c r="J4" s="1347"/>
      <c r="K4" s="1347"/>
      <c r="L4" s="1347"/>
      <c r="M4" s="1347"/>
      <c r="N4" s="1219"/>
      <c r="O4" s="1219"/>
      <c r="P4" s="1219"/>
    </row>
    <row r="5" spans="1:41" s="1220" customFormat="1" ht="18.75" customHeight="1">
      <c r="A5" s="1218"/>
      <c r="B5" s="1934" t="s">
        <v>900</v>
      </c>
      <c r="C5" s="1221"/>
      <c r="D5" s="1221"/>
      <c r="E5" s="1221"/>
      <c r="F5" s="1221"/>
      <c r="G5" s="1221"/>
      <c r="H5" s="1221"/>
      <c r="I5" s="1221"/>
      <c r="J5" s="1221"/>
      <c r="K5" s="1221"/>
      <c r="L5" s="1221"/>
      <c r="M5" s="1239"/>
      <c r="N5" s="1219"/>
      <c r="O5" s="1219"/>
      <c r="P5" s="1219"/>
    </row>
    <row r="6" spans="1:41" s="1220" customFormat="1" ht="18.75" customHeight="1">
      <c r="A6" s="1218"/>
      <c r="B6" s="1934" t="str">
        <f>'Public Goods '!A6</f>
        <v xml:space="preserve">FISCAL YEAR 2021-2022   </v>
      </c>
      <c r="C6" s="1935"/>
      <c r="D6" s="1935"/>
      <c r="E6" s="1935"/>
      <c r="F6" s="1935"/>
      <c r="G6" s="1935"/>
      <c r="H6" s="1935"/>
      <c r="I6" s="1935"/>
      <c r="J6" s="1935"/>
      <c r="K6" s="1935"/>
      <c r="L6" s="1935"/>
      <c r="M6" s="1347"/>
      <c r="N6" s="1219"/>
      <c r="O6" s="1219"/>
      <c r="P6" s="1219"/>
    </row>
    <row r="7" spans="1:41" s="1220" customFormat="1" ht="18" customHeight="1">
      <c r="A7" s="1218"/>
      <c r="B7" s="1936"/>
      <c r="C7" s="1937"/>
      <c r="D7" s="1937"/>
      <c r="E7" s="1937"/>
      <c r="F7" s="1937"/>
      <c r="G7" s="1937"/>
      <c r="H7" s="1937"/>
      <c r="I7" s="1937"/>
      <c r="J7" s="1937"/>
      <c r="K7" s="1937"/>
      <c r="L7" s="1937"/>
      <c r="M7" s="1348"/>
      <c r="N7" s="1222"/>
      <c r="O7" s="1219"/>
      <c r="P7" s="1219"/>
    </row>
    <row r="8" spans="1:41" s="1220" customFormat="1" ht="18" customHeight="1">
      <c r="A8" s="1218"/>
      <c r="B8" s="1936"/>
      <c r="C8" s="1223"/>
      <c r="D8" s="1223"/>
      <c r="E8" s="1223"/>
      <c r="F8" s="1223"/>
      <c r="G8" s="1223"/>
      <c r="H8" s="1223"/>
      <c r="I8" s="1223"/>
      <c r="J8" s="1223"/>
      <c r="K8" s="1223"/>
      <c r="L8" s="1223"/>
      <c r="M8" s="1223"/>
      <c r="N8" s="1222"/>
      <c r="O8" s="1219"/>
      <c r="P8" s="1219"/>
    </row>
    <row r="9" spans="1:41" s="1229" customFormat="1" ht="15.6">
      <c r="A9" s="1224"/>
      <c r="B9" s="1224"/>
      <c r="C9" s="1225"/>
      <c r="D9" s="1614" t="s">
        <v>1506</v>
      </c>
      <c r="E9" s="3821"/>
      <c r="F9" s="1614" t="s">
        <v>1524</v>
      </c>
      <c r="G9" s="3821"/>
      <c r="H9" s="1614" t="s">
        <v>1590</v>
      </c>
      <c r="I9" s="1614"/>
      <c r="J9" s="1614">
        <v>2022</v>
      </c>
      <c r="K9" s="1226"/>
      <c r="L9" s="1226"/>
      <c r="M9" s="1227"/>
      <c r="N9" s="1228"/>
      <c r="O9" s="1228"/>
      <c r="P9" s="1228"/>
    </row>
    <row r="10" spans="1:41" ht="15.6">
      <c r="A10" s="1230"/>
      <c r="B10" s="1230"/>
      <c r="C10" s="1231"/>
      <c r="D10" s="1941" t="s">
        <v>1507</v>
      </c>
      <c r="E10" s="1534"/>
      <c r="F10" s="1941" t="s">
        <v>1525</v>
      </c>
      <c r="G10" s="1534"/>
      <c r="H10" s="1941" t="s">
        <v>1591</v>
      </c>
      <c r="I10" s="1534"/>
      <c r="J10" s="1941" t="s">
        <v>132</v>
      </c>
      <c r="K10" s="1534"/>
      <c r="L10" s="1534"/>
      <c r="M10" s="1232" t="str">
        <f>'Public Goods '!L10</f>
        <v>2021-2022</v>
      </c>
    </row>
    <row r="11" spans="1:41">
      <c r="A11" s="1230"/>
      <c r="B11" s="1230"/>
      <c r="C11" s="1231"/>
      <c r="D11" s="1231"/>
      <c r="E11" s="1233"/>
      <c r="F11" s="1231"/>
      <c r="G11" s="1233"/>
      <c r="H11" s="1231"/>
      <c r="I11" s="1231"/>
      <c r="J11" s="1231"/>
      <c r="K11" s="1233"/>
      <c r="L11" s="1231"/>
      <c r="M11" s="1866"/>
    </row>
    <row r="12" spans="1:41" s="1229" customFormat="1" ht="15.6">
      <c r="A12" s="1234"/>
      <c r="B12" s="1234" t="s">
        <v>467</v>
      </c>
      <c r="C12" s="1225"/>
      <c r="D12" s="1235">
        <v>55655.519999999997</v>
      </c>
      <c r="E12" s="1236"/>
      <c r="F12" s="1235">
        <f>D48</f>
        <v>33659.269999999997</v>
      </c>
      <c r="G12" s="1236"/>
      <c r="H12" s="1235">
        <f>F48</f>
        <v>41266.86</v>
      </c>
      <c r="I12" s="1235"/>
      <c r="J12" s="1235">
        <f>H48</f>
        <v>25.23</v>
      </c>
      <c r="K12" s="1942"/>
      <c r="L12" s="1235"/>
      <c r="M12" s="1236">
        <f>D12</f>
        <v>55655.519999999997</v>
      </c>
      <c r="N12" s="1228"/>
      <c r="O12" s="1228"/>
      <c r="P12" s="1228"/>
      <c r="Q12" s="1237"/>
      <c r="R12" s="1237"/>
      <c r="S12" s="1237"/>
      <c r="T12" s="1237"/>
      <c r="U12" s="1237"/>
      <c r="V12" s="1237"/>
      <c r="W12" s="1237"/>
      <c r="X12" s="1237"/>
      <c r="Y12" s="1237"/>
      <c r="Z12" s="1237"/>
      <c r="AA12" s="1237"/>
      <c r="AB12" s="1238"/>
      <c r="AC12" s="1238"/>
      <c r="AD12" s="1238"/>
      <c r="AE12" s="1238"/>
      <c r="AF12" s="1238"/>
      <c r="AG12" s="1238"/>
      <c r="AH12" s="1238"/>
      <c r="AI12" s="1238"/>
      <c r="AJ12" s="1238"/>
      <c r="AK12" s="1238"/>
      <c r="AL12" s="1238"/>
      <c r="AM12" s="1238"/>
      <c r="AN12" s="1238"/>
      <c r="AO12" s="1238"/>
    </row>
    <row r="13" spans="1:41" s="1229" customFormat="1" ht="15.6">
      <c r="A13" s="1234"/>
      <c r="B13" s="1234"/>
      <c r="C13" s="1225"/>
      <c r="D13" s="1235"/>
      <c r="E13" s="1236"/>
      <c r="F13" s="1235"/>
      <c r="G13" s="1236"/>
      <c r="H13" s="1235"/>
      <c r="I13" s="1235"/>
      <c r="J13" s="1235"/>
      <c r="K13" s="1942"/>
      <c r="L13" s="1235"/>
      <c r="M13" s="1236"/>
      <c r="N13" s="1228"/>
      <c r="O13" s="1228"/>
      <c r="P13" s="1228"/>
      <c r="Q13" s="1237"/>
      <c r="R13" s="1237"/>
      <c r="S13" s="1237"/>
      <c r="T13" s="1237"/>
      <c r="U13" s="1237"/>
      <c r="V13" s="1237"/>
      <c r="W13" s="1237"/>
      <c r="X13" s="1237"/>
      <c r="Y13" s="1237"/>
      <c r="Z13" s="1237"/>
      <c r="AA13" s="1237"/>
      <c r="AB13" s="1238"/>
      <c r="AC13" s="1238"/>
      <c r="AD13" s="1238"/>
      <c r="AE13" s="1238"/>
      <c r="AF13" s="1238"/>
      <c r="AG13" s="1238"/>
      <c r="AH13" s="1238"/>
      <c r="AI13" s="1238"/>
      <c r="AJ13" s="1238"/>
      <c r="AK13" s="1238"/>
      <c r="AL13" s="1238"/>
      <c r="AM13" s="1238"/>
      <c r="AN13" s="1238"/>
      <c r="AO13" s="1238"/>
    </row>
    <row r="14" spans="1:41" ht="15.6">
      <c r="A14" s="1230"/>
      <c r="B14" s="1234" t="s">
        <v>13</v>
      </c>
      <c r="C14" s="1231"/>
      <c r="D14" s="1231"/>
      <c r="E14" s="1233"/>
      <c r="F14" s="1231"/>
      <c r="G14" s="1233"/>
      <c r="H14" s="1231"/>
      <c r="I14" s="1231"/>
      <c r="J14" s="1231"/>
      <c r="K14" s="1943"/>
      <c r="L14" s="1231"/>
      <c r="M14" s="1233"/>
    </row>
    <row r="15" spans="1:41">
      <c r="A15" s="1230"/>
      <c r="B15" s="1239" t="s">
        <v>511</v>
      </c>
      <c r="C15" s="1231"/>
      <c r="D15" s="1240">
        <v>63.25</v>
      </c>
      <c r="E15" s="1241"/>
      <c r="F15" s="1240">
        <v>79.56</v>
      </c>
      <c r="G15" s="1241"/>
      <c r="H15" s="1240">
        <v>117.39</v>
      </c>
      <c r="I15" s="1240"/>
      <c r="J15" s="1240">
        <v>11.57</v>
      </c>
      <c r="K15" s="1944"/>
      <c r="L15" s="1240"/>
      <c r="M15" s="1241">
        <f>ROUND(SUM(D15:L15),2)</f>
        <v>271.77</v>
      </c>
    </row>
    <row r="16" spans="1:41" s="1229" customFormat="1" ht="15.6">
      <c r="A16" s="1234"/>
      <c r="B16" s="1234" t="s">
        <v>149</v>
      </c>
      <c r="C16" s="1225"/>
      <c r="D16" s="1867">
        <f>ROUND(SUM(D15:D15),2)</f>
        <v>63.25</v>
      </c>
      <c r="E16" s="1242"/>
      <c r="F16" s="1867">
        <f>ROUND(SUM(F15:F15),2)</f>
        <v>79.56</v>
      </c>
      <c r="G16" s="1242"/>
      <c r="H16" s="1867">
        <f>ROUND(SUM(H15:H15),2)</f>
        <v>117.39</v>
      </c>
      <c r="I16" s="1242"/>
      <c r="J16" s="1867">
        <f>ROUND(SUM(J15:J15),2)</f>
        <v>11.57</v>
      </c>
      <c r="K16" s="1945"/>
      <c r="L16" s="1242"/>
      <c r="M16" s="1867">
        <f>ROUND(SUM(M15:M15),2)</f>
        <v>271.77</v>
      </c>
      <c r="N16" s="1228"/>
      <c r="O16" s="1216"/>
      <c r="P16" s="1228"/>
    </row>
    <row r="17" spans="1:21">
      <c r="A17" s="1230"/>
      <c r="B17" s="1230"/>
      <c r="C17" s="1231"/>
      <c r="D17" s="1240"/>
      <c r="E17" s="1241"/>
      <c r="F17" s="1240"/>
      <c r="G17" s="1241"/>
      <c r="H17" s="1240"/>
      <c r="I17" s="1240"/>
      <c r="J17" s="1240"/>
      <c r="K17" s="1944"/>
      <c r="L17" s="1240"/>
      <c r="M17" s="1868"/>
    </row>
    <row r="18" spans="1:21" ht="15.6">
      <c r="A18" s="1230"/>
      <c r="B18" s="1234" t="s">
        <v>851</v>
      </c>
      <c r="C18" s="1231"/>
      <c r="D18" s="1240"/>
      <c r="E18" s="1241"/>
      <c r="F18" s="1240"/>
      <c r="G18" s="1241"/>
      <c r="H18" s="1240"/>
      <c r="I18" s="1240"/>
      <c r="J18" s="1240"/>
      <c r="K18" s="1944"/>
      <c r="L18" s="1240"/>
      <c r="M18" s="1241"/>
    </row>
    <row r="19" spans="1:21">
      <c r="A19" s="1230"/>
      <c r="B19" s="1239" t="s">
        <v>529</v>
      </c>
      <c r="C19" s="1231"/>
      <c r="D19" s="1240">
        <v>-159709275.50999999</v>
      </c>
      <c r="E19" s="1241"/>
      <c r="F19" s="1240">
        <v>-160215655.88999999</v>
      </c>
      <c r="G19" s="1241"/>
      <c r="H19" s="1240">
        <v>-181013218.41</v>
      </c>
      <c r="I19" s="1240"/>
      <c r="J19" s="1240">
        <v>-49473603.969999999</v>
      </c>
      <c r="K19" s="1944"/>
      <c r="L19" s="1240"/>
      <c r="M19" s="1241">
        <f>ROUND(SUM(D19:L19),2)</f>
        <v>-550411753.77999997</v>
      </c>
    </row>
    <row r="20" spans="1:21">
      <c r="A20" s="1230"/>
      <c r="B20" s="1239" t="s">
        <v>530</v>
      </c>
      <c r="C20" s="1231"/>
      <c r="D20" s="1240">
        <v>0</v>
      </c>
      <c r="E20" s="1241"/>
      <c r="F20" s="1240">
        <v>0</v>
      </c>
      <c r="G20" s="1241"/>
      <c r="H20" s="1240">
        <v>0</v>
      </c>
      <c r="I20" s="1240"/>
      <c r="J20" s="1240">
        <v>0</v>
      </c>
      <c r="K20" s="1944"/>
      <c r="L20" s="1240"/>
      <c r="M20" s="1241">
        <f>ROUND(SUM(D20:L20),2)</f>
        <v>0</v>
      </c>
    </row>
    <row r="21" spans="1:21">
      <c r="A21" s="1230"/>
      <c r="B21" s="1239" t="s">
        <v>531</v>
      </c>
      <c r="C21" s="1231"/>
      <c r="D21" s="1240">
        <v>-162011.93</v>
      </c>
      <c r="E21" s="1241"/>
      <c r="F21" s="1240">
        <v>9467931.4100000001</v>
      </c>
      <c r="G21" s="1241"/>
      <c r="H21" s="1240">
        <v>-48090360.689999998</v>
      </c>
      <c r="I21" s="1240"/>
      <c r="J21" s="1240">
        <v>6155756.46</v>
      </c>
      <c r="K21" s="1944"/>
      <c r="L21" s="1240"/>
      <c r="M21" s="1241">
        <f>ROUND(SUM(D21:L21),2)</f>
        <v>-32628684.75</v>
      </c>
    </row>
    <row r="22" spans="1:21" s="1229" customFormat="1" ht="15.6">
      <c r="A22" s="1234"/>
      <c r="B22" s="1243" t="s">
        <v>868</v>
      </c>
      <c r="C22" s="1225"/>
      <c r="D22" s="1869">
        <f>ROUND(SUM(D18:D21),2)</f>
        <v>-159871287.44</v>
      </c>
      <c r="E22" s="1242"/>
      <c r="F22" s="1869">
        <f>ROUND(SUM(F18:F21),2)</f>
        <v>-150747724.47999999</v>
      </c>
      <c r="G22" s="1242"/>
      <c r="H22" s="1869">
        <f>ROUND(SUM(H18:H21),2)</f>
        <v>-229103579.09999999</v>
      </c>
      <c r="I22" s="1242"/>
      <c r="J22" s="1869">
        <f>ROUND(SUM(J18:J21),2)</f>
        <v>-43317847.509999998</v>
      </c>
      <c r="K22" s="1945"/>
      <c r="L22" s="1242"/>
      <c r="M22" s="1869">
        <f>ROUND(SUM(M18:M21),2)</f>
        <v>-583040438.52999997</v>
      </c>
      <c r="N22" s="1228"/>
      <c r="O22" s="1216"/>
      <c r="P22" s="1228"/>
    </row>
    <row r="23" spans="1:21">
      <c r="A23" s="1230"/>
      <c r="B23" s="1244"/>
      <c r="C23" s="1231"/>
      <c r="D23" s="1868"/>
      <c r="E23" s="1241"/>
      <c r="F23" s="1868"/>
      <c r="G23" s="1241"/>
      <c r="H23" s="1868"/>
      <c r="I23" s="1241"/>
      <c r="J23" s="1868"/>
      <c r="K23" s="1944"/>
      <c r="L23" s="1241"/>
      <c r="M23" s="1868"/>
    </row>
    <row r="24" spans="1:21" s="1229" customFormat="1" ht="15.6">
      <c r="A24" s="1234"/>
      <c r="B24" s="1234" t="s">
        <v>1111</v>
      </c>
      <c r="C24" s="1225"/>
      <c r="D24" s="1245">
        <f>ROUND(+D16+D22,2)</f>
        <v>-159871224.19</v>
      </c>
      <c r="E24" s="1245"/>
      <c r="F24" s="1245">
        <f>ROUND(+F16+F22,2)</f>
        <v>-150747644.91999999</v>
      </c>
      <c r="G24" s="1245"/>
      <c r="H24" s="1245">
        <f>ROUND(+H16+H22,2)</f>
        <v>-229103461.71000001</v>
      </c>
      <c r="I24" s="1245"/>
      <c r="J24" s="1245">
        <f>ROUND(+J16+J22,2)</f>
        <v>-43317835.939999998</v>
      </c>
      <c r="K24" s="1947"/>
      <c r="L24" s="1245"/>
      <c r="M24" s="1245">
        <f>ROUND(+M16+M22,2)</f>
        <v>-583040166.75999999</v>
      </c>
      <c r="N24" s="1228"/>
      <c r="O24" s="1216"/>
      <c r="P24" s="1228"/>
    </row>
    <row r="25" spans="1:21">
      <c r="A25" s="1230"/>
      <c r="B25" s="1230"/>
      <c r="C25" s="1231"/>
      <c r="D25" s="1868"/>
      <c r="E25" s="1241"/>
      <c r="F25" s="1868"/>
      <c r="G25" s="1241"/>
      <c r="H25" s="1868"/>
      <c r="I25" s="1241"/>
      <c r="J25" s="1868"/>
      <c r="K25" s="1944"/>
      <c r="L25" s="1241"/>
      <c r="M25" s="1868"/>
      <c r="N25" s="1217"/>
      <c r="P25" s="1217"/>
      <c r="Q25" s="1246"/>
      <c r="R25" s="1246"/>
      <c r="S25" s="1246"/>
      <c r="T25" s="1246"/>
      <c r="U25" s="1246"/>
    </row>
    <row r="26" spans="1:21" ht="15.6">
      <c r="A26" s="1230"/>
      <c r="B26" s="1234" t="s">
        <v>45</v>
      </c>
      <c r="C26" s="1231"/>
      <c r="D26" s="1240"/>
      <c r="E26" s="1241"/>
      <c r="F26" s="1240"/>
      <c r="G26" s="1241"/>
      <c r="H26" s="1240"/>
      <c r="I26" s="1240"/>
      <c r="J26" s="1240"/>
      <c r="K26" s="1944"/>
      <c r="L26" s="1240"/>
      <c r="M26" s="1241"/>
      <c r="N26" s="1217"/>
      <c r="P26" s="1217"/>
      <c r="Q26" s="1246"/>
      <c r="R26" s="1246"/>
      <c r="S26" s="1246"/>
      <c r="T26" s="1246"/>
      <c r="U26" s="1246"/>
    </row>
    <row r="27" spans="1:21" ht="15.6">
      <c r="A27" s="1230"/>
      <c r="B27" s="1234" t="s">
        <v>798</v>
      </c>
      <c r="C27" s="1231"/>
      <c r="D27" s="1240"/>
      <c r="E27" s="1241"/>
      <c r="F27" s="1240"/>
      <c r="G27" s="1241"/>
      <c r="H27" s="1240"/>
      <c r="I27" s="1240"/>
      <c r="J27" s="1240"/>
      <c r="K27" s="1944"/>
      <c r="L27" s="1240"/>
      <c r="M27" s="1241"/>
      <c r="N27" s="1217"/>
      <c r="P27" s="1217"/>
      <c r="Q27" s="1246"/>
      <c r="R27" s="1246"/>
      <c r="S27" s="1246"/>
      <c r="T27" s="1246"/>
      <c r="U27" s="1246"/>
    </row>
    <row r="28" spans="1:21">
      <c r="A28" s="1230"/>
      <c r="B28" s="1239" t="s">
        <v>532</v>
      </c>
      <c r="C28" s="1231"/>
      <c r="D28" s="1240">
        <v>0</v>
      </c>
      <c r="E28" s="1241"/>
      <c r="F28" s="1240">
        <v>0</v>
      </c>
      <c r="G28" s="1241"/>
      <c r="H28" s="1240">
        <v>0</v>
      </c>
      <c r="I28" s="1240"/>
      <c r="J28" s="1240">
        <v>0</v>
      </c>
      <c r="K28" s="1944"/>
      <c r="L28" s="1240"/>
      <c r="M28" s="1241">
        <f>ROUND(SUM(D28:L28),2)</f>
        <v>0</v>
      </c>
      <c r="N28" s="1217"/>
      <c r="P28" s="1217"/>
      <c r="Q28" s="1246"/>
      <c r="R28" s="1246"/>
      <c r="S28" s="1246"/>
      <c r="T28" s="1246"/>
      <c r="U28" s="1246"/>
    </row>
    <row r="29" spans="1:21">
      <c r="A29" s="1230"/>
      <c r="B29" s="1239" t="s">
        <v>522</v>
      </c>
      <c r="C29" s="1231"/>
      <c r="D29" s="1240">
        <v>0</v>
      </c>
      <c r="E29" s="1241"/>
      <c r="F29" s="1240">
        <v>0</v>
      </c>
      <c r="G29" s="1241"/>
      <c r="H29" s="1240">
        <v>0</v>
      </c>
      <c r="I29" s="1240"/>
      <c r="J29" s="1240">
        <v>0</v>
      </c>
      <c r="K29" s="1944"/>
      <c r="L29" s="1240"/>
      <c r="M29" s="1241">
        <f>ROUND(SUM(D29:L29),2)</f>
        <v>0</v>
      </c>
      <c r="N29" s="1217"/>
      <c r="P29" s="1217"/>
      <c r="Q29" s="1246"/>
      <c r="R29" s="1246"/>
      <c r="S29" s="1246"/>
      <c r="T29" s="1246"/>
      <c r="U29" s="1246"/>
    </row>
    <row r="30" spans="1:21" ht="15.6">
      <c r="A30" s="1230"/>
      <c r="B30" s="1234" t="s">
        <v>519</v>
      </c>
      <c r="C30" s="1231"/>
      <c r="D30" s="1240"/>
      <c r="E30" s="1241"/>
      <c r="F30" s="1240"/>
      <c r="G30" s="1241"/>
      <c r="H30" s="1240"/>
      <c r="I30" s="1240"/>
      <c r="J30" s="1240"/>
      <c r="K30" s="1944"/>
      <c r="L30" s="1240"/>
      <c r="M30" s="1241"/>
      <c r="N30" s="1217"/>
      <c r="P30" s="1217"/>
      <c r="Q30" s="1246"/>
      <c r="R30" s="1246"/>
      <c r="S30" s="1246"/>
      <c r="T30" s="1246"/>
      <c r="U30" s="1246"/>
    </row>
    <row r="31" spans="1:21">
      <c r="A31" s="1230"/>
      <c r="B31" s="1239" t="s">
        <v>533</v>
      </c>
      <c r="C31" s="1231"/>
      <c r="D31" s="1247">
        <v>69945871.370000005</v>
      </c>
      <c r="E31" s="1247"/>
      <c r="F31" s="1247">
        <v>70174457.280000001</v>
      </c>
      <c r="G31" s="1247"/>
      <c r="H31" s="1247">
        <v>92021163.060000002</v>
      </c>
      <c r="I31" s="1247"/>
      <c r="J31" s="1247">
        <v>21669438.539999999</v>
      </c>
      <c r="K31" s="1948"/>
      <c r="L31" s="1240"/>
      <c r="M31" s="1241">
        <f>ROUND(SUM(D31:L31),2)</f>
        <v>253810930.25</v>
      </c>
      <c r="N31" s="1217"/>
      <c r="P31" s="1217"/>
      <c r="Q31" s="1246"/>
      <c r="R31" s="1246"/>
      <c r="S31" s="1246"/>
      <c r="T31" s="1246"/>
      <c r="U31" s="1246"/>
    </row>
    <row r="32" spans="1:21">
      <c r="A32" s="1230"/>
      <c r="B32" s="1239" t="s">
        <v>534</v>
      </c>
      <c r="C32" s="1231"/>
      <c r="D32" s="1247">
        <v>161543.16</v>
      </c>
      <c r="E32" s="1247"/>
      <c r="F32" s="1247">
        <v>-9460308.7100000009</v>
      </c>
      <c r="G32" s="1247"/>
      <c r="H32" s="1247">
        <v>43532111.18</v>
      </c>
      <c r="I32" s="1247"/>
      <c r="J32" s="1247">
        <v>-6122116.9299999997</v>
      </c>
      <c r="K32" s="1948"/>
      <c r="L32" s="1240"/>
      <c r="M32" s="1241">
        <f>ROUND(SUM(D32:L32),2)</f>
        <v>28111228.699999999</v>
      </c>
      <c r="N32" s="1217"/>
      <c r="P32" s="1217"/>
      <c r="Q32" s="1246"/>
      <c r="R32" s="1246"/>
      <c r="S32" s="1246"/>
      <c r="T32" s="1246"/>
      <c r="U32" s="1246"/>
    </row>
    <row r="33" spans="1:46">
      <c r="A33" s="1230"/>
      <c r="B33" s="1239" t="s">
        <v>535</v>
      </c>
      <c r="C33" s="1231"/>
      <c r="D33" s="1247">
        <v>89747898.870000005</v>
      </c>
      <c r="E33" s="1247"/>
      <c r="F33" s="1247">
        <v>90041198.609999985</v>
      </c>
      <c r="G33" s="1247"/>
      <c r="H33" s="1247">
        <v>118072816.52</v>
      </c>
      <c r="I33" s="1247"/>
      <c r="J33" s="1247">
        <v>27804165.429999996</v>
      </c>
      <c r="K33" s="1948"/>
      <c r="L33" s="1240"/>
      <c r="M33" s="1241">
        <f>ROUND(SUM(D33:L33),2)</f>
        <v>325666079.43000001</v>
      </c>
      <c r="N33" s="1217"/>
      <c r="P33" s="1217"/>
      <c r="Q33" s="1246"/>
      <c r="R33" s="1246"/>
      <c r="S33" s="1246"/>
      <c r="T33" s="1246"/>
      <c r="U33" s="1246"/>
    </row>
    <row r="34" spans="1:46">
      <c r="A34" s="1230"/>
      <c r="B34" s="1239" t="s">
        <v>531</v>
      </c>
      <c r="C34" s="1231"/>
      <c r="D34" s="1949">
        <v>0</v>
      </c>
      <c r="E34" s="1247"/>
      <c r="F34" s="1949">
        <v>0</v>
      </c>
      <c r="G34" s="1247"/>
      <c r="H34" s="1949">
        <v>0</v>
      </c>
      <c r="I34" s="1247"/>
      <c r="J34" s="1949">
        <v>0</v>
      </c>
      <c r="K34" s="1948"/>
      <c r="L34" s="1247"/>
      <c r="M34" s="1241">
        <f>ROUND(SUM(D34:L34),2)</f>
        <v>0</v>
      </c>
      <c r="N34" s="1217"/>
      <c r="P34" s="1217"/>
      <c r="Q34" s="1246"/>
      <c r="R34" s="1246"/>
      <c r="S34" s="1246"/>
      <c r="T34" s="1246"/>
      <c r="U34" s="1246"/>
    </row>
    <row r="35" spans="1:46" s="1229" customFormat="1" ht="15.6">
      <c r="A35" s="1234"/>
      <c r="B35" s="1234" t="s">
        <v>521</v>
      </c>
      <c r="C35" s="1225"/>
      <c r="D35" s="1870">
        <f>ROUND(SUM(D28:D34),2)</f>
        <v>159855313.40000001</v>
      </c>
      <c r="E35" s="1242"/>
      <c r="F35" s="1870">
        <f>ROUND(SUM(F28:F34),2)</f>
        <v>150755347.18000001</v>
      </c>
      <c r="G35" s="1242"/>
      <c r="H35" s="1870">
        <f>ROUND(SUM(H28:H34),2)</f>
        <v>253626090.75999999</v>
      </c>
      <c r="I35" s="1242"/>
      <c r="J35" s="1870">
        <f>ROUND(SUM(J28:J34),2)</f>
        <v>43351487.039999999</v>
      </c>
      <c r="K35" s="1945"/>
      <c r="L35" s="1242"/>
      <c r="M35" s="1870">
        <f>ROUND(SUM(M28:M34),2)</f>
        <v>607588238.38</v>
      </c>
      <c r="N35" s="1248"/>
      <c r="O35" s="1216"/>
      <c r="P35" s="1248"/>
      <c r="Q35" s="1249"/>
      <c r="R35" s="1249"/>
      <c r="S35" s="1249"/>
      <c r="T35" s="1249"/>
      <c r="U35" s="1249"/>
    </row>
    <row r="36" spans="1:46">
      <c r="A36" s="1230"/>
      <c r="B36" s="1230"/>
      <c r="C36" s="1231"/>
      <c r="D36" s="1240"/>
      <c r="E36" s="1241"/>
      <c r="F36" s="1240"/>
      <c r="G36" s="1241"/>
      <c r="H36" s="1240"/>
      <c r="I36" s="1240"/>
      <c r="J36" s="1240"/>
      <c r="K36" s="1944"/>
      <c r="L36" s="1240"/>
      <c r="M36" s="1241"/>
      <c r="N36" s="1217"/>
      <c r="P36" s="1217"/>
      <c r="Q36" s="1246"/>
      <c r="R36" s="1246"/>
      <c r="S36" s="1246"/>
      <c r="T36" s="1246"/>
      <c r="U36" s="1246"/>
    </row>
    <row r="37" spans="1:46" ht="15.6">
      <c r="A37" s="1230"/>
      <c r="B37" s="1234" t="s">
        <v>849</v>
      </c>
      <c r="C37" s="1231"/>
      <c r="D37" s="1240"/>
      <c r="E37" s="1241"/>
      <c r="F37" s="1240"/>
      <c r="G37" s="1241"/>
      <c r="H37" s="1240"/>
      <c r="I37" s="1240"/>
      <c r="J37" s="1240"/>
      <c r="K37" s="1944"/>
      <c r="L37" s="1240"/>
      <c r="M37" s="1241"/>
      <c r="N37" s="1217"/>
      <c r="P37" s="1217"/>
      <c r="Q37" s="1246"/>
      <c r="R37" s="1246"/>
      <c r="S37" s="1246"/>
      <c r="T37" s="1246"/>
      <c r="U37" s="1246"/>
    </row>
    <row r="38" spans="1:46">
      <c r="A38" s="1230"/>
      <c r="B38" s="1230" t="s">
        <v>532</v>
      </c>
      <c r="C38" s="1231"/>
      <c r="D38" s="1250">
        <v>0</v>
      </c>
      <c r="E38" s="1250"/>
      <c r="F38" s="1250">
        <v>0</v>
      </c>
      <c r="G38" s="1250"/>
      <c r="H38" s="1250">
        <v>0</v>
      </c>
      <c r="I38" s="1250"/>
      <c r="J38" s="1250">
        <v>0</v>
      </c>
      <c r="K38" s="1950"/>
      <c r="L38" s="1250"/>
      <c r="M38" s="1241">
        <f>ROUND(SUM(D38:L38),2)</f>
        <v>0</v>
      </c>
      <c r="N38" s="1217"/>
      <c r="P38" s="1217"/>
      <c r="Q38" s="1246"/>
      <c r="R38" s="1246"/>
      <c r="S38" s="1246"/>
      <c r="T38" s="1246"/>
      <c r="U38" s="1246"/>
    </row>
    <row r="39" spans="1:46">
      <c r="A39" s="1230"/>
      <c r="B39" s="1230" t="s">
        <v>522</v>
      </c>
      <c r="C39" s="1231"/>
      <c r="D39" s="1241">
        <v>0</v>
      </c>
      <c r="E39" s="1241"/>
      <c r="F39" s="1241">
        <v>0</v>
      </c>
      <c r="G39" s="1241"/>
      <c r="H39" s="1241">
        <v>0</v>
      </c>
      <c r="I39" s="1241"/>
      <c r="J39" s="1241">
        <v>0</v>
      </c>
      <c r="K39" s="1944"/>
      <c r="L39" s="1241"/>
      <c r="M39" s="1241">
        <f>ROUND(SUM(D39:L39),2)</f>
        <v>0</v>
      </c>
      <c r="N39" s="1217"/>
      <c r="P39" s="1217"/>
      <c r="Q39" s="1246"/>
      <c r="R39" s="1246"/>
      <c r="S39" s="1246"/>
      <c r="T39" s="1246"/>
      <c r="U39" s="1246"/>
    </row>
    <row r="40" spans="1:46" ht="15.6">
      <c r="A40" s="1230"/>
      <c r="B40" s="1234" t="s">
        <v>850</v>
      </c>
      <c r="C40" s="1231"/>
      <c r="D40" s="1240"/>
      <c r="E40" s="1241"/>
      <c r="F40" s="1240"/>
      <c r="G40" s="1241"/>
      <c r="H40" s="1240"/>
      <c r="I40" s="1240"/>
      <c r="J40" s="1240"/>
      <c r="K40" s="1944"/>
      <c r="L40" s="1240"/>
      <c r="M40" s="1241"/>
      <c r="N40" s="1217"/>
      <c r="P40" s="1217"/>
      <c r="Q40" s="1246"/>
      <c r="R40" s="1246"/>
      <c r="S40" s="1246"/>
      <c r="T40" s="1246"/>
      <c r="U40" s="1246"/>
    </row>
    <row r="41" spans="1:46">
      <c r="A41" s="1230"/>
      <c r="B41" s="1239" t="s">
        <v>536</v>
      </c>
      <c r="C41" s="1231"/>
      <c r="D41" s="1241">
        <v>-116.96</v>
      </c>
      <c r="E41" s="1241"/>
      <c r="F41" s="1241">
        <v>-94.67</v>
      </c>
      <c r="G41" s="1241"/>
      <c r="H41" s="1241">
        <v>-105.67999999999999</v>
      </c>
      <c r="I41" s="1241"/>
      <c r="J41" s="1241">
        <v>-11.52</v>
      </c>
      <c r="K41" s="1944"/>
      <c r="L41" s="1240"/>
      <c r="M41" s="1241">
        <f>ROUND(SUM(D41:L41),2)</f>
        <v>-328.83</v>
      </c>
      <c r="N41" s="1217"/>
      <c r="P41" s="1217"/>
      <c r="Q41" s="1246"/>
      <c r="R41" s="1246"/>
      <c r="S41" s="1246"/>
      <c r="T41" s="1246"/>
      <c r="U41" s="1246"/>
    </row>
    <row r="42" spans="1:46">
      <c r="A42" s="1230"/>
      <c r="B42" s="3776" t="s">
        <v>1370</v>
      </c>
      <c r="C42" s="1231"/>
      <c r="D42" s="1951">
        <v>-5968.5</v>
      </c>
      <c r="E42" s="1241"/>
      <c r="F42" s="1951">
        <v>0</v>
      </c>
      <c r="G42" s="1241"/>
      <c r="H42" s="1951">
        <v>-24563765</v>
      </c>
      <c r="I42" s="1241"/>
      <c r="J42" s="1951">
        <v>0</v>
      </c>
      <c r="K42" s="1944"/>
      <c r="L42" s="1240"/>
      <c r="M42" s="1241">
        <f t="shared" ref="M42" si="0">ROUND(SUM(D42:L42),2)</f>
        <v>-24569733.5</v>
      </c>
      <c r="N42" s="1217"/>
      <c r="P42" s="1217"/>
      <c r="Q42" s="1246"/>
      <c r="R42" s="1246"/>
      <c r="S42" s="1246"/>
      <c r="T42" s="1246"/>
      <c r="U42" s="1246"/>
    </row>
    <row r="43" spans="1:46" s="1229" customFormat="1" ht="15.6">
      <c r="A43" s="1234"/>
      <c r="B43" s="1234" t="s">
        <v>523</v>
      </c>
      <c r="C43" s="1225"/>
      <c r="D43" s="1870">
        <f>SUM(D38:D42)</f>
        <v>-6085.46</v>
      </c>
      <c r="E43" s="1242"/>
      <c r="F43" s="1870">
        <f>SUM(F38:F42)</f>
        <v>-94.67</v>
      </c>
      <c r="G43" s="1242"/>
      <c r="H43" s="1870">
        <f>SUM(H38:H42)</f>
        <v>-24563870.68</v>
      </c>
      <c r="I43" s="1242"/>
      <c r="J43" s="1870">
        <f>SUM(J38:J42)</f>
        <v>-11.52</v>
      </c>
      <c r="K43" s="1945"/>
      <c r="L43" s="1242"/>
      <c r="M43" s="1870">
        <f>SUM(M38:M42)</f>
        <v>-24570062.329999998</v>
      </c>
      <c r="N43" s="1248"/>
      <c r="O43" s="1216"/>
      <c r="P43" s="1248"/>
      <c r="Q43" s="1249"/>
      <c r="R43" s="1249"/>
      <c r="S43" s="1249"/>
      <c r="T43" s="1249"/>
      <c r="U43" s="1249"/>
    </row>
    <row r="44" spans="1:46">
      <c r="A44" s="1230"/>
      <c r="B44" s="1230"/>
      <c r="C44" s="1231"/>
      <c r="D44" s="1240"/>
      <c r="E44" s="1241"/>
      <c r="F44" s="1240"/>
      <c r="G44" s="1241"/>
      <c r="H44" s="1240"/>
      <c r="I44" s="1240"/>
      <c r="J44" s="1240"/>
      <c r="K44" s="1944"/>
      <c r="L44" s="1240"/>
      <c r="M44" s="1241"/>
      <c r="N44" s="1217"/>
      <c r="P44" s="1217"/>
      <c r="Q44" s="1246"/>
      <c r="R44" s="1246"/>
      <c r="S44" s="1246"/>
      <c r="T44" s="1246"/>
      <c r="U44" s="1246"/>
    </row>
    <row r="45" spans="1:46" ht="15.6">
      <c r="A45" s="1230"/>
      <c r="B45" s="1234" t="s">
        <v>537</v>
      </c>
      <c r="C45" s="1231"/>
      <c r="D45" s="1240"/>
      <c r="E45" s="1241"/>
      <c r="F45" s="1240"/>
      <c r="G45" s="1241"/>
      <c r="H45" s="1240"/>
      <c r="I45" s="1240"/>
      <c r="J45" s="1240"/>
      <c r="K45" s="1944"/>
      <c r="L45" s="1240"/>
      <c r="M45" s="1241"/>
      <c r="N45" s="1217"/>
      <c r="P45" s="1217"/>
      <c r="Q45" s="1246"/>
      <c r="R45" s="1246"/>
      <c r="S45" s="1246"/>
      <c r="T45" s="1246"/>
      <c r="U45" s="1246"/>
    </row>
    <row r="46" spans="1:46" ht="15.6">
      <c r="A46" s="1230"/>
      <c r="B46" s="1234" t="s">
        <v>538</v>
      </c>
      <c r="C46" s="1231"/>
      <c r="D46" s="1946">
        <f>ROUND(+D24+D35+D43,2)</f>
        <v>-21996.25</v>
      </c>
      <c r="E46" s="1245"/>
      <c r="F46" s="1946">
        <f>ROUND(+F24+F35+F43,2)</f>
        <v>7607.59</v>
      </c>
      <c r="G46" s="1245"/>
      <c r="H46" s="1946">
        <f>ROUND(+H24+H35+H43,2)</f>
        <v>-41241.629999999997</v>
      </c>
      <c r="I46" s="1245"/>
      <c r="J46" s="1946">
        <f>ROUND(+J24+J35+J43,2)</f>
        <v>33639.58</v>
      </c>
      <c r="K46" s="1947"/>
      <c r="L46" s="1245"/>
      <c r="M46" s="1946">
        <f>ROUND(+M24+M35+M43,2)</f>
        <v>-21990.71</v>
      </c>
      <c r="N46" s="1217"/>
      <c r="P46" s="1217"/>
      <c r="Q46" s="1246"/>
      <c r="R46" s="1246"/>
      <c r="S46" s="1246"/>
      <c r="T46" s="1246"/>
      <c r="U46" s="1246"/>
    </row>
    <row r="47" spans="1:46">
      <c r="A47" s="1230"/>
      <c r="B47" s="1230"/>
      <c r="C47" s="1231"/>
      <c r="D47" s="1231"/>
      <c r="E47" s="1233"/>
      <c r="F47" s="1231"/>
      <c r="G47" s="1233"/>
      <c r="H47" s="1231"/>
      <c r="I47" s="1231"/>
      <c r="J47" s="1231"/>
      <c r="K47" s="1943"/>
      <c r="L47" s="1231"/>
      <c r="M47" s="1251"/>
      <c r="N47" s="1217"/>
      <c r="P47" s="1217"/>
      <c r="Q47" s="1246"/>
      <c r="R47" s="1246"/>
      <c r="S47" s="1246"/>
      <c r="T47" s="1246"/>
      <c r="U47" s="1246"/>
    </row>
    <row r="48" spans="1:46" s="1229" customFormat="1" ht="16.2" thickBot="1">
      <c r="A48" s="1234"/>
      <c r="B48" s="1234" t="s">
        <v>526</v>
      </c>
      <c r="C48" s="1252"/>
      <c r="D48" s="1871">
        <f>ROUND(D12+D46,2)</f>
        <v>33659.269999999997</v>
      </c>
      <c r="E48" s="1253"/>
      <c r="F48" s="1871">
        <f>ROUND(F12+F46,2)</f>
        <v>41266.86</v>
      </c>
      <c r="G48" s="1253"/>
      <c r="H48" s="1871">
        <f>ROUND(H12+H46,2)</f>
        <v>25.23</v>
      </c>
      <c r="I48" s="1253"/>
      <c r="J48" s="1871">
        <f>ROUND(J12+J46,2)</f>
        <v>33664.81</v>
      </c>
      <c r="K48" s="1952"/>
      <c r="L48" s="1253"/>
      <c r="M48" s="1871">
        <f>ROUND(M12+M46,2)</f>
        <v>33664.81</v>
      </c>
      <c r="N48" s="1228"/>
      <c r="O48" s="1216"/>
      <c r="P48" s="1228"/>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row>
    <row r="49" spans="1:13" ht="15.6" thickTop="1">
      <c r="A49" s="1230"/>
      <c r="B49" s="1230" t="s">
        <v>14</v>
      </c>
      <c r="C49" s="1231"/>
      <c r="D49" s="1231"/>
      <c r="E49" s="1233"/>
      <c r="F49" s="1231"/>
      <c r="G49" s="1233"/>
      <c r="H49" s="1231"/>
      <c r="I49" s="1231"/>
      <c r="J49" s="1231"/>
      <c r="K49" s="1231"/>
      <c r="L49" s="1231"/>
      <c r="M49" s="1231"/>
    </row>
    <row r="50" spans="1:13">
      <c r="B50" s="1255" t="s">
        <v>527</v>
      </c>
    </row>
    <row r="51" spans="1:13">
      <c r="B51" s="1256"/>
    </row>
    <row r="59" spans="1:13" ht="15.6">
      <c r="B59" s="1257"/>
      <c r="C59" s="1258"/>
      <c r="D59" s="1258"/>
      <c r="E59" s="1285"/>
      <c r="F59" s="1258"/>
      <c r="G59" s="1285"/>
      <c r="H59" s="1258"/>
      <c r="I59" s="1258"/>
      <c r="J59" s="1258"/>
      <c r="K59" s="1258"/>
      <c r="L59" s="1258"/>
    </row>
    <row r="61" spans="1:13" ht="15.6">
      <c r="B61" s="1259"/>
      <c r="C61" s="1228"/>
    </row>
  </sheetData>
  <printOptions horizontalCentered="1"/>
  <pageMargins left="0.24" right="0.24" top="0.5" bottom="0.5" header="0.18" footer="0.25"/>
  <pageSetup scale="68"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50" workbookViewId="0"/>
  </sheetViews>
  <sheetFormatPr defaultColWidth="8.81640625" defaultRowHeight="13.2"/>
  <cols>
    <col min="1" max="1" width="54.81640625" style="410" customWidth="1"/>
    <col min="2" max="2" width="1.81640625" style="410" customWidth="1"/>
    <col min="3" max="3" width="10.81640625" style="410" customWidth="1"/>
    <col min="4" max="4" width="1.81640625" style="410" customWidth="1"/>
    <col min="5" max="5" width="10.81640625" style="410" customWidth="1"/>
    <col min="6" max="6" width="1.81640625" style="410" customWidth="1"/>
    <col min="7" max="7" width="10.81640625" style="410" customWidth="1"/>
    <col min="8" max="8" width="1.81640625" style="410" customWidth="1"/>
    <col min="9" max="9" width="10.81640625" style="410" customWidth="1"/>
    <col min="10" max="10" width="1.81640625" style="410" customWidth="1"/>
    <col min="11" max="11" width="10.81640625" style="410" customWidth="1"/>
    <col min="12" max="12" width="1.81640625" style="410" customWidth="1"/>
    <col min="13" max="13" width="14.81640625" style="410" bestFit="1" customWidth="1"/>
    <col min="14" max="14" width="1.81640625" style="410" customWidth="1"/>
    <col min="15" max="15" width="10.81640625" style="410" customWidth="1"/>
    <col min="16" max="16" width="1.81640625" style="410" customWidth="1"/>
    <col min="17" max="17" width="13.54296875" style="410" bestFit="1" customWidth="1"/>
    <col min="18" max="18" width="1.81640625" style="410" customWidth="1"/>
    <col min="19" max="19" width="13.54296875" style="410" bestFit="1" customWidth="1"/>
    <col min="20" max="20" width="1.81640625" style="410" customWidth="1"/>
    <col min="21" max="21" width="11" style="410" customWidth="1"/>
    <col min="22" max="22" width="1.81640625" style="410" customWidth="1"/>
    <col min="23" max="23" width="10.81640625" style="410" customWidth="1"/>
    <col min="24" max="24" width="1.81640625" style="410" customWidth="1"/>
    <col min="25" max="25" width="10.81640625" style="410" customWidth="1"/>
    <col min="26" max="26" width="1.81640625" style="410" customWidth="1"/>
    <col min="27" max="27" width="14.08984375" style="414" customWidth="1"/>
    <col min="28" max="28" width="3.81640625" style="410" customWidth="1"/>
    <col min="29" max="29" width="5.81640625" style="410" customWidth="1"/>
    <col min="30" max="30" width="10.08984375" style="410" customWidth="1"/>
    <col min="31" max="31" width="2.81640625" style="410" customWidth="1"/>
    <col min="32" max="16384" width="8.81640625" style="410"/>
  </cols>
  <sheetData>
    <row r="1" spans="1:29" ht="15">
      <c r="A1" s="635" t="s">
        <v>881</v>
      </c>
    </row>
    <row r="2" spans="1:29" ht="21">
      <c r="A2" s="407"/>
      <c r="B2" s="1208"/>
      <c r="C2" s="1208"/>
      <c r="D2" s="1208"/>
      <c r="E2" s="1208"/>
      <c r="F2" s="1208"/>
      <c r="G2" s="1208"/>
      <c r="H2" s="1208"/>
      <c r="I2" s="1208"/>
      <c r="J2" s="1208"/>
      <c r="K2" s="1208"/>
      <c r="L2" s="408"/>
      <c r="M2" s="408"/>
      <c r="N2" s="1208"/>
      <c r="O2" s="1208"/>
      <c r="P2" s="1208"/>
      <c r="Q2" s="1208"/>
      <c r="R2" s="1208"/>
      <c r="S2" s="1208"/>
      <c r="T2" s="1208"/>
      <c r="U2" s="1208"/>
      <c r="V2" s="1208"/>
      <c r="W2" s="1208"/>
      <c r="X2" s="1208"/>
      <c r="Y2" s="1208"/>
      <c r="Z2" s="1208"/>
      <c r="AA2" s="1209"/>
      <c r="AB2" s="1208"/>
      <c r="AC2" s="409"/>
    </row>
    <row r="3" spans="1:29" ht="15">
      <c r="A3"/>
      <c r="B3" s="636"/>
      <c r="C3" s="636"/>
      <c r="D3" s="636"/>
      <c r="E3" s="636"/>
      <c r="F3" s="636"/>
      <c r="G3" s="636"/>
      <c r="H3" s="636"/>
      <c r="I3" s="636"/>
      <c r="J3" s="636"/>
      <c r="K3" s="636"/>
      <c r="L3"/>
      <c r="M3" s="636"/>
      <c r="N3" s="636"/>
      <c r="O3" s="636"/>
      <c r="P3" s="636"/>
      <c r="Q3" s="636"/>
      <c r="R3" s="636"/>
      <c r="S3" s="636"/>
      <c r="T3" s="636"/>
      <c r="U3" s="636"/>
      <c r="V3" s="636"/>
      <c r="W3" s="636"/>
      <c r="X3" s="636"/>
      <c r="Y3" s="636"/>
      <c r="Z3" s="636"/>
      <c r="AA3" s="410"/>
      <c r="AB3" s="1208"/>
      <c r="AC3" s="409"/>
    </row>
    <row r="4" spans="1:29" ht="21">
      <c r="A4" s="642" t="s">
        <v>0</v>
      </c>
      <c r="B4" s="636"/>
      <c r="C4" s="636"/>
      <c r="D4" s="636"/>
      <c r="E4" s="636"/>
      <c r="F4" s="636"/>
      <c r="G4" s="636"/>
      <c r="H4" s="636"/>
      <c r="I4" s="636"/>
      <c r="J4" s="636"/>
      <c r="K4" s="636"/>
      <c r="L4"/>
      <c r="M4" s="636"/>
      <c r="N4" s="636"/>
      <c r="O4" s="636"/>
      <c r="P4" s="636"/>
      <c r="Q4" s="636"/>
      <c r="R4" s="636"/>
      <c r="S4" s="636"/>
      <c r="T4" s="636"/>
      <c r="U4" s="636"/>
      <c r="V4" s="636"/>
      <c r="W4" s="636"/>
      <c r="X4" s="636"/>
      <c r="Y4" s="636"/>
      <c r="Z4" s="636"/>
      <c r="AA4" s="1210" t="s">
        <v>528</v>
      </c>
      <c r="AB4" s="1208"/>
      <c r="AC4" s="409"/>
    </row>
    <row r="5" spans="1:29" s="409" customFormat="1" ht="17.399999999999999">
      <c r="A5" s="642" t="s">
        <v>540</v>
      </c>
      <c r="B5" s="637"/>
      <c r="C5" s="637"/>
      <c r="D5" s="637"/>
      <c r="E5" s="637"/>
      <c r="F5" s="637"/>
      <c r="G5" s="637"/>
      <c r="H5" s="637"/>
      <c r="I5" s="637"/>
      <c r="J5" s="636"/>
      <c r="K5" s="636"/>
      <c r="L5" s="636"/>
      <c r="M5" s="636"/>
      <c r="N5" s="636"/>
      <c r="O5" s="636"/>
      <c r="P5" s="636"/>
      <c r="Q5" s="636"/>
      <c r="R5" s="636"/>
      <c r="S5" s="636"/>
      <c r="T5" s="636"/>
      <c r="U5" s="636"/>
      <c r="V5" s="636"/>
      <c r="W5" s="636"/>
      <c r="X5" s="636"/>
      <c r="Y5" s="636"/>
      <c r="Z5" s="636"/>
      <c r="AA5" s="636"/>
      <c r="AB5" s="1208"/>
    </row>
    <row r="6" spans="1:29" s="409" customFormat="1" ht="17.399999999999999">
      <c r="A6" s="224" t="str">
        <f>'Exh D-Governmental  '!A5:E5</f>
        <v>FISCAL YEAR 2021-2022</v>
      </c>
      <c r="B6" s="637"/>
      <c r="C6" s="637"/>
      <c r="D6" s="637"/>
      <c r="E6" s="637"/>
      <c r="F6" s="637"/>
      <c r="G6" s="637"/>
      <c r="H6" s="637"/>
      <c r="I6" s="637"/>
      <c r="J6" s="636"/>
      <c r="K6" s="636"/>
      <c r="L6" s="636"/>
      <c r="M6" s="636"/>
      <c r="N6" s="636"/>
      <c r="O6" s="636"/>
      <c r="P6" s="636"/>
      <c r="Q6" s="636"/>
      <c r="R6" s="636"/>
      <c r="S6" s="636"/>
      <c r="T6" s="636"/>
      <c r="U6" s="636"/>
      <c r="V6" s="636"/>
      <c r="W6" s="636"/>
      <c r="X6" s="636"/>
      <c r="Y6" s="636"/>
      <c r="Z6" s="636"/>
      <c r="AA6" s="636"/>
      <c r="AB6" s="1208"/>
    </row>
    <row r="7" spans="1:29" s="409" customFormat="1" ht="17.399999999999999">
      <c r="A7" s="642" t="s">
        <v>1268</v>
      </c>
      <c r="B7" s="638"/>
      <c r="C7" s="638"/>
      <c r="D7" s="638"/>
      <c r="E7" s="638"/>
      <c r="F7" s="638"/>
      <c r="G7" s="638"/>
      <c r="H7" s="638"/>
      <c r="I7" s="638"/>
      <c r="J7"/>
      <c r="K7"/>
      <c r="L7"/>
      <c r="M7"/>
      <c r="N7"/>
      <c r="O7"/>
      <c r="P7"/>
      <c r="Q7"/>
      <c r="R7" s="636"/>
      <c r="S7" s="636"/>
      <c r="T7" s="636"/>
      <c r="U7" s="636"/>
      <c r="V7" s="636"/>
      <c r="W7" s="636"/>
      <c r="X7" s="636"/>
      <c r="Y7" s="636"/>
      <c r="Z7" s="636"/>
      <c r="AA7"/>
      <c r="AB7" s="1208"/>
    </row>
    <row r="8" spans="1:29" s="409" customFormat="1" ht="15.6">
      <c r="A8" s="639"/>
      <c r="B8" s="638"/>
      <c r="C8" s="755"/>
      <c r="D8" s="755"/>
      <c r="E8" s="755"/>
      <c r="F8" s="755"/>
      <c r="G8" s="755"/>
      <c r="H8" s="755"/>
      <c r="I8" s="755"/>
      <c r="J8" s="656"/>
      <c r="K8" s="656"/>
      <c r="L8" s="656"/>
      <c r="M8" s="656"/>
      <c r="N8" s="656"/>
      <c r="O8" s="656"/>
      <c r="P8" s="656"/>
      <c r="Q8" s="656"/>
      <c r="R8" s="656"/>
      <c r="S8" s="656"/>
      <c r="T8" s="656"/>
      <c r="U8" s="656"/>
      <c r="V8" s="656"/>
      <c r="W8" s="656"/>
      <c r="X8" s="656"/>
      <c r="Y8" s="656"/>
      <c r="Z8" s="656"/>
      <c r="AA8" s="656"/>
      <c r="AB8" s="1208"/>
    </row>
    <row r="9" spans="1:29" s="409" customFormat="1" ht="15.6">
      <c r="A9" s="636"/>
      <c r="B9" s="63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1208"/>
    </row>
    <row r="10" spans="1:29" s="409" customFormat="1" ht="17.399999999999999">
      <c r="A10" s="636"/>
      <c r="B10" s="655"/>
      <c r="C10" s="756">
        <v>2021</v>
      </c>
      <c r="D10" s="756" t="s">
        <v>14</v>
      </c>
      <c r="E10" s="756">
        <f>C10</f>
        <v>2021</v>
      </c>
      <c r="F10" s="756" t="s">
        <v>14</v>
      </c>
      <c r="G10" s="756">
        <f>C10</f>
        <v>2021</v>
      </c>
      <c r="H10" s="756" t="s">
        <v>14</v>
      </c>
      <c r="I10" s="756">
        <f>C10</f>
        <v>2021</v>
      </c>
      <c r="J10" s="756" t="s">
        <v>14</v>
      </c>
      <c r="K10" s="756">
        <f>E10</f>
        <v>2021</v>
      </c>
      <c r="L10" s="756" t="s">
        <v>14</v>
      </c>
      <c r="M10" s="756">
        <f>G10</f>
        <v>2021</v>
      </c>
      <c r="N10" s="756" t="s">
        <v>14</v>
      </c>
      <c r="O10" s="756">
        <f>I10</f>
        <v>2021</v>
      </c>
      <c r="P10" s="756" t="s">
        <v>14</v>
      </c>
      <c r="Q10" s="756">
        <f>K10</f>
        <v>2021</v>
      </c>
      <c r="R10" s="756" t="s">
        <v>14</v>
      </c>
      <c r="S10" s="756">
        <f>M10</f>
        <v>2021</v>
      </c>
      <c r="T10" s="756"/>
      <c r="U10" s="756">
        <v>2022</v>
      </c>
      <c r="V10" s="756"/>
      <c r="W10" s="756">
        <f>U10</f>
        <v>2022</v>
      </c>
      <c r="X10" s="756"/>
      <c r="Y10" s="756">
        <f>W10</f>
        <v>2022</v>
      </c>
      <c r="Z10" s="642"/>
      <c r="AA10" s="757" t="str">
        <f>'Medicaid Disp Share'!M10</f>
        <v>2021-2022</v>
      </c>
      <c r="AB10" s="1211"/>
    </row>
    <row r="11" spans="1:29" s="409" customFormat="1" ht="17.399999999999999">
      <c r="A11" s="636"/>
      <c r="B11" s="655"/>
      <c r="C11" s="2132" t="s">
        <v>123</v>
      </c>
      <c r="D11" s="757"/>
      <c r="E11" s="2132" t="s">
        <v>124</v>
      </c>
      <c r="F11" s="757"/>
      <c r="G11" s="2132" t="s">
        <v>125</v>
      </c>
      <c r="H11" s="757"/>
      <c r="I11" s="2132" t="s">
        <v>126</v>
      </c>
      <c r="J11" s="757"/>
      <c r="K11" s="2132" t="s">
        <v>127</v>
      </c>
      <c r="L11" s="757"/>
      <c r="M11" s="2132" t="s">
        <v>142</v>
      </c>
      <c r="N11" s="757"/>
      <c r="O11" s="2132" t="s">
        <v>143</v>
      </c>
      <c r="P11" s="757"/>
      <c r="Q11" s="2132" t="s">
        <v>130</v>
      </c>
      <c r="R11" s="757"/>
      <c r="S11" s="2132" t="s">
        <v>131</v>
      </c>
      <c r="T11" s="757"/>
      <c r="U11" s="2132" t="s">
        <v>132</v>
      </c>
      <c r="V11" s="757"/>
      <c r="W11" s="2132" t="s">
        <v>133</v>
      </c>
      <c r="X11" s="757"/>
      <c r="Y11" s="2132" t="s">
        <v>184</v>
      </c>
      <c r="Z11" s="642"/>
      <c r="AA11" s="2132" t="s">
        <v>541</v>
      </c>
      <c r="AB11" s="1208"/>
    </row>
    <row r="12" spans="1:29" s="409" customFormat="1" ht="17.399999999999999">
      <c r="A12"/>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1860"/>
      <c r="AC12" s="1861"/>
    </row>
    <row r="13" spans="1:29" s="411" customFormat="1" ht="17.399999999999999">
      <c r="A13" s="656" t="s">
        <v>542</v>
      </c>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1860"/>
      <c r="AC13" s="1862"/>
    </row>
    <row r="14" spans="1:29" s="411" customFormat="1" ht="17.399999999999999">
      <c r="A14" s="636" t="s">
        <v>543</v>
      </c>
      <c r="B14" s="655"/>
      <c r="C14" s="780">
        <v>0</v>
      </c>
      <c r="D14" s="780"/>
      <c r="E14" s="780">
        <v>0</v>
      </c>
      <c r="F14" s="780"/>
      <c r="G14" s="2143">
        <v>0</v>
      </c>
      <c r="H14" s="780"/>
      <c r="I14" s="3697">
        <v>0</v>
      </c>
      <c r="J14" s="781"/>
      <c r="K14" s="2143">
        <v>0</v>
      </c>
      <c r="L14" s="780"/>
      <c r="M14" s="2143">
        <v>7</v>
      </c>
      <c r="N14" s="781"/>
      <c r="O14" s="2143">
        <v>0</v>
      </c>
      <c r="P14" s="781"/>
      <c r="Q14" s="2143">
        <v>0</v>
      </c>
      <c r="R14" s="781"/>
      <c r="S14" s="2143">
        <v>0</v>
      </c>
      <c r="T14" s="781"/>
      <c r="U14" s="2143">
        <v>0</v>
      </c>
      <c r="V14" s="781"/>
      <c r="W14" s="2143"/>
      <c r="X14" s="781"/>
      <c r="Y14" s="2143"/>
      <c r="Z14" s="655"/>
      <c r="AA14" s="2955">
        <f>ROUND(SUM(C14:Z14),0)</f>
        <v>7</v>
      </c>
      <c r="AB14" s="1860"/>
      <c r="AC14" s="1862"/>
    </row>
    <row r="15" spans="1:29" s="411" customFormat="1" ht="17.399999999999999">
      <c r="A15" s="636" t="s">
        <v>544</v>
      </c>
      <c r="B15" s="655"/>
      <c r="C15" s="782">
        <v>34</v>
      </c>
      <c r="D15" s="783"/>
      <c r="E15" s="783">
        <v>2058</v>
      </c>
      <c r="F15" s="783"/>
      <c r="G15" s="786">
        <v>1281</v>
      </c>
      <c r="H15" s="783"/>
      <c r="I15" s="3698">
        <v>0</v>
      </c>
      <c r="J15" s="784"/>
      <c r="K15" s="786">
        <v>192</v>
      </c>
      <c r="L15" s="783"/>
      <c r="M15" s="786">
        <v>0</v>
      </c>
      <c r="N15" s="784"/>
      <c r="O15" s="786">
        <v>172</v>
      </c>
      <c r="P15" s="784"/>
      <c r="Q15" s="786">
        <v>0</v>
      </c>
      <c r="R15" s="784"/>
      <c r="S15" s="786">
        <v>0</v>
      </c>
      <c r="T15" s="784"/>
      <c r="U15" s="786">
        <v>0</v>
      </c>
      <c r="V15" s="784"/>
      <c r="W15" s="786"/>
      <c r="X15" s="784"/>
      <c r="Y15" s="786"/>
      <c r="Z15" s="655"/>
      <c r="AA15" s="1459">
        <f t="shared" ref="AA15:AA24" si="0">ROUND(SUM(C15:Z15),0)</f>
        <v>3737</v>
      </c>
      <c r="AB15" s="1860"/>
      <c r="AC15" s="1862"/>
    </row>
    <row r="16" spans="1:29" s="411" customFormat="1" ht="17.399999999999999">
      <c r="A16" s="636" t="s">
        <v>545</v>
      </c>
      <c r="B16" s="655"/>
      <c r="C16" s="782">
        <v>0</v>
      </c>
      <c r="D16" s="783"/>
      <c r="E16" s="783">
        <v>0</v>
      </c>
      <c r="F16" s="783"/>
      <c r="G16" s="786">
        <v>0</v>
      </c>
      <c r="H16" s="783"/>
      <c r="I16" s="3698">
        <v>0</v>
      </c>
      <c r="J16" s="784"/>
      <c r="K16" s="786">
        <v>0</v>
      </c>
      <c r="L16" s="783"/>
      <c r="M16" s="786">
        <v>0</v>
      </c>
      <c r="N16" s="784"/>
      <c r="O16" s="786">
        <v>0</v>
      </c>
      <c r="P16" s="784"/>
      <c r="Q16" s="786">
        <v>0</v>
      </c>
      <c r="R16" s="784"/>
      <c r="S16" s="786">
        <v>0</v>
      </c>
      <c r="T16" s="784"/>
      <c r="U16" s="786">
        <v>0</v>
      </c>
      <c r="V16" s="784"/>
      <c r="W16" s="786"/>
      <c r="X16" s="784"/>
      <c r="Y16" s="786"/>
      <c r="Z16" s="655"/>
      <c r="AA16" s="1459">
        <f t="shared" si="0"/>
        <v>0</v>
      </c>
      <c r="AB16" s="1212"/>
      <c r="AC16" s="1862"/>
    </row>
    <row r="17" spans="1:29" s="411" customFormat="1" ht="17.399999999999999">
      <c r="A17" s="636" t="s">
        <v>905</v>
      </c>
      <c r="B17" s="655"/>
      <c r="C17" s="786">
        <v>0</v>
      </c>
      <c r="D17" s="783"/>
      <c r="E17" s="785">
        <v>0</v>
      </c>
      <c r="F17" s="783"/>
      <c r="G17" s="785">
        <v>0</v>
      </c>
      <c r="H17" s="783"/>
      <c r="I17" s="3699">
        <v>70</v>
      </c>
      <c r="J17" s="784"/>
      <c r="K17" s="785">
        <v>0</v>
      </c>
      <c r="L17" s="783"/>
      <c r="M17" s="785">
        <v>0</v>
      </c>
      <c r="N17" s="784"/>
      <c r="O17" s="785">
        <v>0</v>
      </c>
      <c r="P17" s="784"/>
      <c r="Q17" s="785">
        <v>0</v>
      </c>
      <c r="R17" s="784"/>
      <c r="S17" s="785">
        <v>0</v>
      </c>
      <c r="T17" s="784"/>
      <c r="U17" s="785">
        <v>0</v>
      </c>
      <c r="V17" s="784"/>
      <c r="W17" s="785"/>
      <c r="X17" s="784"/>
      <c r="Y17" s="785"/>
      <c r="Z17" s="655"/>
      <c r="AA17" s="1459">
        <f t="shared" si="0"/>
        <v>70</v>
      </c>
      <c r="AB17" s="1212"/>
      <c r="AC17" s="1862"/>
    </row>
    <row r="18" spans="1:29" s="411" customFormat="1" ht="17.399999999999999">
      <c r="A18" s="636" t="s">
        <v>546</v>
      </c>
      <c r="B18" s="655"/>
      <c r="C18" s="783"/>
      <c r="D18" s="783"/>
      <c r="E18" s="787"/>
      <c r="F18" s="783"/>
      <c r="G18" s="787"/>
      <c r="H18" s="783"/>
      <c r="I18" s="3700"/>
      <c r="J18" s="784"/>
      <c r="K18" s="787"/>
      <c r="L18" s="783"/>
      <c r="M18" s="787"/>
      <c r="N18" s="784"/>
      <c r="O18" s="787"/>
      <c r="P18" s="784"/>
      <c r="Q18" s="787" t="s">
        <v>14</v>
      </c>
      <c r="R18" s="784"/>
      <c r="S18" s="787" t="s">
        <v>14</v>
      </c>
      <c r="T18" s="784"/>
      <c r="U18" s="787" t="s">
        <v>14</v>
      </c>
      <c r="V18" s="784"/>
      <c r="W18" s="787"/>
      <c r="X18" s="784"/>
      <c r="Y18" s="787"/>
      <c r="Z18" s="655"/>
      <c r="AA18" s="1459"/>
      <c r="AB18" s="1212"/>
      <c r="AC18" s="1862"/>
    </row>
    <row r="19" spans="1:29" s="411" customFormat="1" ht="17.399999999999999">
      <c r="A19" s="636" t="s">
        <v>911</v>
      </c>
      <c r="B19" s="655"/>
      <c r="C19" s="782">
        <v>70</v>
      </c>
      <c r="D19" s="783"/>
      <c r="E19" s="783">
        <v>181</v>
      </c>
      <c r="F19" s="783"/>
      <c r="G19" s="786">
        <v>554</v>
      </c>
      <c r="H19" s="783"/>
      <c r="I19" s="3698">
        <v>125</v>
      </c>
      <c r="J19" s="784"/>
      <c r="K19" s="786">
        <v>411</v>
      </c>
      <c r="L19" s="783"/>
      <c r="M19" s="786">
        <v>543</v>
      </c>
      <c r="N19" s="784"/>
      <c r="O19" s="786">
        <v>0</v>
      </c>
      <c r="P19" s="784"/>
      <c r="Q19" s="786">
        <v>213</v>
      </c>
      <c r="R19" s="784"/>
      <c r="S19" s="786">
        <v>551</v>
      </c>
      <c r="T19" s="784"/>
      <c r="U19" s="786">
        <v>426</v>
      </c>
      <c r="V19" s="784"/>
      <c r="W19" s="786"/>
      <c r="X19" s="784"/>
      <c r="Y19" s="786"/>
      <c r="Z19" s="655"/>
      <c r="AA19" s="1459">
        <f t="shared" si="0"/>
        <v>3074</v>
      </c>
      <c r="AB19" s="1212"/>
      <c r="AC19" s="1862"/>
    </row>
    <row r="20" spans="1:29" s="411" customFormat="1" ht="17.399999999999999">
      <c r="A20" s="636" t="s">
        <v>547</v>
      </c>
      <c r="B20" s="655"/>
      <c r="C20" s="782">
        <v>0</v>
      </c>
      <c r="D20" s="783"/>
      <c r="E20" s="783">
        <v>0</v>
      </c>
      <c r="F20" s="783"/>
      <c r="G20" s="786">
        <v>0</v>
      </c>
      <c r="H20" s="783"/>
      <c r="I20" s="3698">
        <v>0</v>
      </c>
      <c r="J20" s="784"/>
      <c r="K20" s="786">
        <v>0</v>
      </c>
      <c r="L20" s="783"/>
      <c r="M20" s="786">
        <v>0</v>
      </c>
      <c r="N20" s="784"/>
      <c r="O20" s="786">
        <v>0</v>
      </c>
      <c r="P20" s="784"/>
      <c r="Q20" s="786">
        <v>0</v>
      </c>
      <c r="R20" s="784"/>
      <c r="S20" s="786">
        <v>0</v>
      </c>
      <c r="T20" s="784"/>
      <c r="U20" s="786">
        <v>0</v>
      </c>
      <c r="V20" s="784"/>
      <c r="W20" s="786"/>
      <c r="X20" s="784"/>
      <c r="Y20" s="786"/>
      <c r="Z20" s="655"/>
      <c r="AA20" s="1459">
        <f t="shared" si="0"/>
        <v>0</v>
      </c>
      <c r="AB20" s="1212"/>
      <c r="AC20" s="1862"/>
    </row>
    <row r="21" spans="1:29" s="411" customFormat="1" ht="17.399999999999999">
      <c r="A21" s="636" t="s">
        <v>548</v>
      </c>
      <c r="B21" s="655"/>
      <c r="C21" s="782">
        <v>0</v>
      </c>
      <c r="D21" s="783"/>
      <c r="E21" s="783">
        <v>0</v>
      </c>
      <c r="F21" s="783"/>
      <c r="G21" s="786">
        <v>0</v>
      </c>
      <c r="H21" s="783"/>
      <c r="I21" s="3698">
        <v>0</v>
      </c>
      <c r="J21" s="784"/>
      <c r="K21" s="786">
        <v>0</v>
      </c>
      <c r="L21" s="783"/>
      <c r="M21" s="786">
        <v>0</v>
      </c>
      <c r="N21" s="784"/>
      <c r="O21" s="786">
        <v>0</v>
      </c>
      <c r="P21" s="784"/>
      <c r="Q21" s="786">
        <v>0</v>
      </c>
      <c r="R21" s="784"/>
      <c r="S21" s="786">
        <v>0</v>
      </c>
      <c r="T21" s="784"/>
      <c r="U21" s="786">
        <v>0</v>
      </c>
      <c r="V21" s="784"/>
      <c r="W21" s="786"/>
      <c r="X21" s="784"/>
      <c r="Y21" s="786"/>
      <c r="Z21" s="655"/>
      <c r="AA21" s="1459">
        <f t="shared" si="0"/>
        <v>0</v>
      </c>
      <c r="AB21" s="1212"/>
      <c r="AC21" s="1862"/>
    </row>
    <row r="22" spans="1:29" s="411" customFormat="1" ht="17.399999999999999">
      <c r="A22" s="636" t="s">
        <v>549</v>
      </c>
      <c r="B22" s="655"/>
      <c r="C22" s="782">
        <v>0</v>
      </c>
      <c r="D22" s="783"/>
      <c r="E22" s="783">
        <v>0</v>
      </c>
      <c r="F22" s="783"/>
      <c r="G22" s="786">
        <v>0</v>
      </c>
      <c r="H22" s="783"/>
      <c r="I22" s="3698">
        <v>0</v>
      </c>
      <c r="J22" s="784"/>
      <c r="K22" s="786">
        <v>0</v>
      </c>
      <c r="L22" s="783"/>
      <c r="M22" s="786">
        <v>0</v>
      </c>
      <c r="N22" s="784"/>
      <c r="O22" s="786">
        <v>0</v>
      </c>
      <c r="P22" s="784"/>
      <c r="Q22" s="786">
        <v>0</v>
      </c>
      <c r="R22" s="784"/>
      <c r="S22" s="786">
        <v>0</v>
      </c>
      <c r="T22" s="784"/>
      <c r="U22" s="786">
        <v>0</v>
      </c>
      <c r="V22" s="784"/>
      <c r="W22" s="786"/>
      <c r="X22" s="784"/>
      <c r="Y22" s="786"/>
      <c r="Z22" s="655"/>
      <c r="AA22" s="1459">
        <f t="shared" si="0"/>
        <v>0</v>
      </c>
      <c r="AB22" s="1212"/>
      <c r="AC22" s="1862"/>
    </row>
    <row r="23" spans="1:29" s="411" customFormat="1" ht="17.399999999999999">
      <c r="A23" s="636" t="s">
        <v>550</v>
      </c>
      <c r="B23" s="655"/>
      <c r="C23" s="782">
        <v>0</v>
      </c>
      <c r="D23" s="783"/>
      <c r="E23" s="783">
        <v>0</v>
      </c>
      <c r="F23" s="783"/>
      <c r="G23" s="786">
        <v>0</v>
      </c>
      <c r="H23" s="783"/>
      <c r="I23" s="3698">
        <v>0</v>
      </c>
      <c r="J23" s="784"/>
      <c r="K23" s="786">
        <v>0</v>
      </c>
      <c r="L23" s="783"/>
      <c r="M23" s="786">
        <v>0</v>
      </c>
      <c r="N23" s="784"/>
      <c r="O23" s="786">
        <v>0</v>
      </c>
      <c r="P23" s="784"/>
      <c r="Q23" s="786">
        <v>0</v>
      </c>
      <c r="R23" s="784"/>
      <c r="S23" s="786">
        <v>0</v>
      </c>
      <c r="T23" s="784"/>
      <c r="U23" s="786">
        <v>0</v>
      </c>
      <c r="V23" s="784"/>
      <c r="W23" s="786"/>
      <c r="X23" s="784"/>
      <c r="Y23" s="786"/>
      <c r="Z23" s="655"/>
      <c r="AA23" s="1459">
        <f>ROUND(SUM(C23:Z23),0)</f>
        <v>0</v>
      </c>
      <c r="AB23" s="1212"/>
      <c r="AC23" s="1862"/>
    </row>
    <row r="24" spans="1:29" s="411" customFormat="1" ht="17.399999999999999">
      <c r="A24" s="636" t="s">
        <v>551</v>
      </c>
      <c r="B24" s="655"/>
      <c r="C24" s="783">
        <v>21</v>
      </c>
      <c r="D24" s="783"/>
      <c r="E24" s="783">
        <v>0</v>
      </c>
      <c r="F24" s="783"/>
      <c r="G24" s="782">
        <v>42</v>
      </c>
      <c r="H24" s="783"/>
      <c r="I24" s="3698">
        <v>0</v>
      </c>
      <c r="J24" s="784"/>
      <c r="K24" s="786">
        <v>0</v>
      </c>
      <c r="L24" s="783"/>
      <c r="M24" s="786">
        <v>0</v>
      </c>
      <c r="N24" s="784"/>
      <c r="O24" s="786">
        <v>0</v>
      </c>
      <c r="P24" s="784"/>
      <c r="Q24" s="786">
        <v>0</v>
      </c>
      <c r="R24" s="784"/>
      <c r="S24" s="786">
        <v>0</v>
      </c>
      <c r="T24" s="784"/>
      <c r="U24" s="786">
        <v>0</v>
      </c>
      <c r="V24" s="784"/>
      <c r="W24" s="786"/>
      <c r="X24" s="784"/>
      <c r="Y24" s="786"/>
      <c r="Z24" s="655"/>
      <c r="AA24" s="1459">
        <f t="shared" si="0"/>
        <v>63</v>
      </c>
      <c r="AB24" s="1212"/>
      <c r="AC24" s="1862"/>
    </row>
    <row r="25" spans="1:29" s="411" customFormat="1" ht="17.399999999999999">
      <c r="A25" s="656" t="s">
        <v>801</v>
      </c>
      <c r="B25" s="655"/>
      <c r="C25" s="2134">
        <f>ROUND(SUM(C14:C24),0)</f>
        <v>125</v>
      </c>
      <c r="D25" s="636"/>
      <c r="E25" s="2134">
        <f>ROUND(SUM(E14:E24),0)</f>
        <v>2239</v>
      </c>
      <c r="F25" s="636"/>
      <c r="G25" s="2134">
        <f>ROUND(SUM(G14:G24),0)</f>
        <v>1877</v>
      </c>
      <c r="H25" s="636"/>
      <c r="I25" s="3701">
        <f>ROUND(SUM(I14:I24),0)</f>
        <v>195</v>
      </c>
      <c r="J25" s="636"/>
      <c r="K25" s="2134">
        <f>ROUND(SUM(K14:K24),0)</f>
        <v>603</v>
      </c>
      <c r="L25" s="636"/>
      <c r="M25" s="2134">
        <f>ROUND(SUM(M14:M24),0)</f>
        <v>550</v>
      </c>
      <c r="N25" s="636"/>
      <c r="O25" s="2134">
        <f>ROUND(SUM(O14:O24),0)</f>
        <v>172</v>
      </c>
      <c r="P25" s="636"/>
      <c r="Q25" s="2134">
        <f>ROUND(SUM(Q14:Q24),0)</f>
        <v>213</v>
      </c>
      <c r="R25" s="636"/>
      <c r="S25" s="2134">
        <f>ROUND(SUM(S14:S24),0)</f>
        <v>551</v>
      </c>
      <c r="T25" s="636"/>
      <c r="U25" s="2134">
        <f>ROUND(SUM(U14:U24),0)</f>
        <v>426</v>
      </c>
      <c r="V25" s="636"/>
      <c r="W25" s="2134">
        <f>ROUND(SUM(W14:W24),0)</f>
        <v>0</v>
      </c>
      <c r="X25" s="636"/>
      <c r="Y25" s="2134">
        <f>ROUND(SUM(Y14:Y24),0)</f>
        <v>0</v>
      </c>
      <c r="Z25" s="636"/>
      <c r="AA25" s="2956">
        <f>ROUND(SUM(AA14:AA24),0)</f>
        <v>6951</v>
      </c>
      <c r="AB25" s="1212"/>
      <c r="AC25" s="1862"/>
    </row>
    <row r="26" spans="1:29" s="411" customFormat="1" ht="17.399999999999999">
      <c r="A26"/>
      <c r="B26" s="655"/>
      <c r="C26" s="655"/>
      <c r="D26" s="655"/>
      <c r="E26" s="655"/>
      <c r="F26" s="655"/>
      <c r="G26" s="655"/>
      <c r="H26" s="655"/>
      <c r="I26" s="3702"/>
      <c r="J26" s="655"/>
      <c r="K26" s="655"/>
      <c r="L26" s="655"/>
      <c r="M26" s="655"/>
      <c r="N26" s="655"/>
      <c r="O26" s="655"/>
      <c r="P26" s="655"/>
      <c r="Q26" s="655"/>
      <c r="R26" s="655"/>
      <c r="S26" s="655"/>
      <c r="T26" s="655"/>
      <c r="U26" s="655"/>
      <c r="V26" s="655"/>
      <c r="W26" s="655"/>
      <c r="X26" s="655"/>
      <c r="Y26" s="655"/>
      <c r="Z26" s="655"/>
      <c r="AA26" s="798"/>
      <c r="AB26" s="1212"/>
      <c r="AC26" s="1862"/>
    </row>
    <row r="27" spans="1:29" s="411" customFormat="1" ht="17.399999999999999">
      <c r="A27" s="636"/>
      <c r="B27" s="655"/>
      <c r="C27" s="655"/>
      <c r="D27" s="655"/>
      <c r="E27" s="655"/>
      <c r="F27" s="655"/>
      <c r="G27" s="655"/>
      <c r="H27" s="655"/>
      <c r="I27" s="3702"/>
      <c r="J27" s="655"/>
      <c r="K27" s="655"/>
      <c r="L27" s="655"/>
      <c r="M27" s="655"/>
      <c r="N27" s="655"/>
      <c r="O27" s="655"/>
      <c r="P27" s="655"/>
      <c r="Q27" s="655"/>
      <c r="R27" s="655"/>
      <c r="S27" s="655"/>
      <c r="T27" s="655"/>
      <c r="U27" s="655"/>
      <c r="V27" s="655"/>
      <c r="W27" s="655"/>
      <c r="X27" s="655"/>
      <c r="Y27" s="655"/>
      <c r="Z27" s="655"/>
      <c r="AA27" s="798"/>
      <c r="AB27" s="1212"/>
      <c r="AC27" s="1862"/>
    </row>
    <row r="28" spans="1:29" s="411" customFormat="1" ht="17.399999999999999">
      <c r="A28" s="656" t="s">
        <v>552</v>
      </c>
      <c r="B28" s="655"/>
      <c r="C28" s="655"/>
      <c r="D28" s="655"/>
      <c r="E28" s="655"/>
      <c r="F28" s="655"/>
      <c r="G28" s="655"/>
      <c r="H28" s="655"/>
      <c r="I28" s="3702"/>
      <c r="J28" s="655"/>
      <c r="K28" s="655"/>
      <c r="L28" s="655"/>
      <c r="M28" s="655"/>
      <c r="N28" s="655"/>
      <c r="O28" s="655"/>
      <c r="P28" s="655"/>
      <c r="Q28" s="655"/>
      <c r="R28" s="655"/>
      <c r="S28" s="655"/>
      <c r="T28" s="655"/>
      <c r="U28" s="655"/>
      <c r="V28" s="655"/>
      <c r="W28" s="655"/>
      <c r="X28" s="655"/>
      <c r="Y28" s="655"/>
      <c r="Z28" s="655"/>
      <c r="AA28" s="798"/>
      <c r="AB28" s="1212"/>
      <c r="AC28" s="1862"/>
    </row>
    <row r="29" spans="1:29" s="411" customFormat="1" ht="17.399999999999999">
      <c r="A29" s="636" t="s">
        <v>546</v>
      </c>
      <c r="B29" s="655"/>
      <c r="C29" s="655"/>
      <c r="D29" s="655"/>
      <c r="E29" s="655"/>
      <c r="F29" s="655"/>
      <c r="G29" s="655"/>
      <c r="H29" s="655"/>
      <c r="I29" s="3702"/>
      <c r="J29" s="655"/>
      <c r="K29" s="655"/>
      <c r="L29" s="655"/>
      <c r="M29" s="655"/>
      <c r="N29" s="655"/>
      <c r="O29" s="655"/>
      <c r="P29" s="655"/>
      <c r="Q29" s="655"/>
      <c r="R29" s="655"/>
      <c r="S29" s="655"/>
      <c r="T29" s="655"/>
      <c r="U29" s="655"/>
      <c r="V29" s="655"/>
      <c r="W29" s="655"/>
      <c r="X29" s="655"/>
      <c r="Y29" s="655"/>
      <c r="Z29" s="655"/>
      <c r="AA29" s="798"/>
      <c r="AB29" s="1212"/>
      <c r="AC29" s="1862"/>
    </row>
    <row r="30" spans="1:29" s="411" customFormat="1" ht="17.399999999999999">
      <c r="A30" s="636" t="s">
        <v>553</v>
      </c>
      <c r="B30" s="655"/>
      <c r="C30" s="785">
        <v>0</v>
      </c>
      <c r="D30" s="783"/>
      <c r="E30" s="785">
        <v>0</v>
      </c>
      <c r="F30" s="783"/>
      <c r="G30" s="785">
        <v>0</v>
      </c>
      <c r="H30" s="783"/>
      <c r="I30" s="3699">
        <v>0</v>
      </c>
      <c r="J30" s="784"/>
      <c r="K30" s="785">
        <v>0</v>
      </c>
      <c r="L30" s="783">
        <v>0</v>
      </c>
      <c r="M30" s="785">
        <v>0</v>
      </c>
      <c r="N30" s="784"/>
      <c r="O30" s="785">
        <v>0</v>
      </c>
      <c r="P30" s="784"/>
      <c r="Q30" s="785">
        <v>0</v>
      </c>
      <c r="R30" s="784"/>
      <c r="S30" s="785">
        <v>0</v>
      </c>
      <c r="T30" s="784"/>
      <c r="U30" s="785">
        <v>0</v>
      </c>
      <c r="V30" s="784"/>
      <c r="W30" s="785"/>
      <c r="X30" s="784"/>
      <c r="Y30" s="785"/>
      <c r="Z30" s="655"/>
      <c r="AA30" s="1459">
        <f>ROUND(SUM(C30:Z30),0)</f>
        <v>0</v>
      </c>
      <c r="AB30" s="1212"/>
      <c r="AC30" s="1862"/>
    </row>
    <row r="31" spans="1:29" s="411" customFormat="1" ht="17.399999999999999">
      <c r="A31" s="636" t="s">
        <v>1102</v>
      </c>
      <c r="B31" s="655"/>
      <c r="C31" s="783">
        <v>0</v>
      </c>
      <c r="D31" s="783"/>
      <c r="E31" s="785">
        <v>0</v>
      </c>
      <c r="F31" s="783"/>
      <c r="G31" s="785">
        <v>0</v>
      </c>
      <c r="H31" s="783"/>
      <c r="I31" s="3699">
        <v>0</v>
      </c>
      <c r="J31" s="784"/>
      <c r="K31" s="785">
        <v>0</v>
      </c>
      <c r="L31" s="783"/>
      <c r="M31" s="785">
        <v>0</v>
      </c>
      <c r="N31" s="784"/>
      <c r="O31" s="785">
        <v>0</v>
      </c>
      <c r="P31" s="784"/>
      <c r="Q31" s="785">
        <v>0</v>
      </c>
      <c r="R31" s="784"/>
      <c r="S31" s="785">
        <v>0</v>
      </c>
      <c r="T31" s="784"/>
      <c r="U31" s="785">
        <v>0</v>
      </c>
      <c r="V31" s="784"/>
      <c r="W31" s="785"/>
      <c r="X31" s="784"/>
      <c r="Y31" s="785"/>
      <c r="Z31" s="655"/>
      <c r="AA31" s="1459">
        <f>ROUND(SUM(C31:Z31),0)</f>
        <v>0</v>
      </c>
      <c r="AB31" s="1212"/>
      <c r="AC31" s="1862"/>
    </row>
    <row r="32" spans="1:29" s="411" customFormat="1" ht="17.399999999999999">
      <c r="A32" s="636" t="s">
        <v>554</v>
      </c>
      <c r="B32" s="655"/>
      <c r="C32" s="785">
        <v>0</v>
      </c>
      <c r="D32" s="783"/>
      <c r="E32" s="785">
        <v>0</v>
      </c>
      <c r="F32" s="783"/>
      <c r="G32" s="785">
        <v>0</v>
      </c>
      <c r="H32" s="783"/>
      <c r="I32" s="3699">
        <v>0</v>
      </c>
      <c r="J32" s="784"/>
      <c r="K32" s="785">
        <v>0</v>
      </c>
      <c r="L32" s="783"/>
      <c r="M32" s="785">
        <v>0</v>
      </c>
      <c r="N32" s="784"/>
      <c r="O32" s="785">
        <v>0</v>
      </c>
      <c r="P32" s="784"/>
      <c r="Q32" s="785">
        <v>0</v>
      </c>
      <c r="R32" s="784"/>
      <c r="S32" s="785">
        <v>0</v>
      </c>
      <c r="T32" s="784"/>
      <c r="U32" s="785">
        <v>0</v>
      </c>
      <c r="V32" s="784"/>
      <c r="W32" s="785"/>
      <c r="X32" s="784"/>
      <c r="Y32" s="785"/>
      <c r="Z32" s="655"/>
      <c r="AA32" s="1459">
        <f>ROUND(SUM(C32:Z32),0)</f>
        <v>0</v>
      </c>
      <c r="AB32" s="1212"/>
      <c r="AC32" s="1862"/>
    </row>
    <row r="33" spans="1:29" s="411" customFormat="1" ht="17.399999999999999">
      <c r="A33" s="636" t="s">
        <v>905</v>
      </c>
      <c r="B33" s="655"/>
      <c r="C33" s="785">
        <v>0</v>
      </c>
      <c r="D33" s="783"/>
      <c r="E33" s="785">
        <v>0</v>
      </c>
      <c r="F33" s="788"/>
      <c r="G33" s="785">
        <v>0</v>
      </c>
      <c r="H33" s="788"/>
      <c r="I33" s="3699">
        <v>0</v>
      </c>
      <c r="J33" s="789"/>
      <c r="K33" s="785">
        <v>0</v>
      </c>
      <c r="L33" s="788"/>
      <c r="M33" s="785">
        <v>0</v>
      </c>
      <c r="N33" s="789"/>
      <c r="O33" s="785">
        <v>0</v>
      </c>
      <c r="P33" s="789"/>
      <c r="Q33" s="785">
        <v>0</v>
      </c>
      <c r="R33" s="789"/>
      <c r="S33" s="785">
        <v>0</v>
      </c>
      <c r="T33" s="789"/>
      <c r="U33" s="785">
        <v>0</v>
      </c>
      <c r="V33" s="789"/>
      <c r="W33" s="785"/>
      <c r="X33" s="789"/>
      <c r="Y33" s="785"/>
      <c r="Z33" s="655"/>
      <c r="AA33" s="1459">
        <f>ROUND(SUM(C33:Z33),0)</f>
        <v>0</v>
      </c>
      <c r="AB33" s="1212"/>
      <c r="AC33" s="1862"/>
    </row>
    <row r="34" spans="1:29" s="409" customFormat="1" ht="17.399999999999999">
      <c r="A34" s="636" t="s">
        <v>555</v>
      </c>
      <c r="B34" s="655"/>
      <c r="C34" s="2133">
        <v>0</v>
      </c>
      <c r="D34" s="783"/>
      <c r="E34" s="2133">
        <v>0</v>
      </c>
      <c r="F34" s="783"/>
      <c r="G34" s="2133">
        <v>0</v>
      </c>
      <c r="H34" s="783"/>
      <c r="I34" s="3703">
        <v>0</v>
      </c>
      <c r="J34" s="784"/>
      <c r="K34" s="2133">
        <v>0</v>
      </c>
      <c r="L34" s="783"/>
      <c r="M34" s="2133">
        <v>0</v>
      </c>
      <c r="N34" s="784"/>
      <c r="O34" s="2133">
        <v>0</v>
      </c>
      <c r="P34" s="784"/>
      <c r="Q34" s="2133">
        <v>0</v>
      </c>
      <c r="R34" s="784"/>
      <c r="S34" s="2133">
        <v>0</v>
      </c>
      <c r="T34" s="784"/>
      <c r="U34" s="2133">
        <v>0</v>
      </c>
      <c r="V34" s="784"/>
      <c r="W34" s="2133"/>
      <c r="X34" s="784"/>
      <c r="Y34" s="2133"/>
      <c r="Z34" s="655"/>
      <c r="AA34" s="1459">
        <f>ROUND(SUM(C34:Z34),0)</f>
        <v>0</v>
      </c>
      <c r="AB34" s="1213"/>
      <c r="AC34" s="1863"/>
    </row>
    <row r="35" spans="1:29" s="409" customFormat="1" ht="17.399999999999999">
      <c r="A35" s="656" t="s">
        <v>800</v>
      </c>
      <c r="B35" s="655"/>
      <c r="C35" s="2134">
        <f>ROUND(SUM(C30:C34),0)</f>
        <v>0</v>
      </c>
      <c r="D35" s="636"/>
      <c r="E35" s="2134">
        <f>ROUND(SUM(E30:E34),0)</f>
        <v>0</v>
      </c>
      <c r="F35" s="636"/>
      <c r="G35" s="2134">
        <f>ROUND(SUM(G30:G34),0)</f>
        <v>0</v>
      </c>
      <c r="H35" s="636"/>
      <c r="I35" s="2134">
        <f>ROUND(SUM(I30:I34),0)</f>
        <v>0</v>
      </c>
      <c r="J35" s="636"/>
      <c r="K35" s="2134">
        <f>ROUND(SUM(K30:K34),0)</f>
        <v>0</v>
      </c>
      <c r="L35" s="636"/>
      <c r="M35" s="2134">
        <f>ROUND(SUM(M30:M34),0)</f>
        <v>0</v>
      </c>
      <c r="N35" s="636"/>
      <c r="O35" s="2134">
        <f>ROUND(SUM(O30:O34),0)</f>
        <v>0</v>
      </c>
      <c r="P35" s="636"/>
      <c r="Q35" s="2134">
        <f>ROUND(SUM(Q30:Q34),0)</f>
        <v>0</v>
      </c>
      <c r="R35" s="636"/>
      <c r="S35" s="2134">
        <f>ROUND(SUM(S30:S34),0)</f>
        <v>0</v>
      </c>
      <c r="T35" s="636"/>
      <c r="U35" s="2134">
        <f>ROUND(SUM(U30:U34),0)</f>
        <v>0</v>
      </c>
      <c r="V35" s="636"/>
      <c r="W35" s="2134">
        <f>ROUND(SUM(W30:W34),0)</f>
        <v>0</v>
      </c>
      <c r="X35" s="636"/>
      <c r="Y35" s="2134">
        <f>ROUND(SUM(Y30:Y34),0)</f>
        <v>0</v>
      </c>
      <c r="Z35" s="636"/>
      <c r="AA35" s="2134">
        <f>ROUND(SUM(AA30:AA34),0)</f>
        <v>0</v>
      </c>
      <c r="AB35" s="1213"/>
      <c r="AC35" s="1863"/>
    </row>
    <row r="36" spans="1:29" ht="17.399999999999999">
      <c r="A36" s="636"/>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36"/>
      <c r="AB36" s="1213"/>
      <c r="AC36" s="1864"/>
    </row>
    <row r="37" spans="1:29" ht="17.399999999999999">
      <c r="A37" s="636"/>
      <c r="B37" s="655"/>
      <c r="C37" s="655"/>
      <c r="D37" s="655"/>
      <c r="E37" s="655"/>
      <c r="F37" s="655"/>
      <c r="G37" s="655"/>
      <c r="H37" s="655"/>
      <c r="I37" s="655"/>
      <c r="J37" s="655"/>
      <c r="K37" s="655"/>
      <c r="L37" s="655"/>
      <c r="M37" s="655"/>
      <c r="N37" s="655"/>
      <c r="O37" s="655"/>
      <c r="P37" s="655"/>
      <c r="Q37" s="655"/>
      <c r="R37" s="655"/>
      <c r="S37" s="2144"/>
      <c r="T37" s="655"/>
      <c r="U37" s="655"/>
      <c r="V37" s="655"/>
      <c r="W37" s="655"/>
      <c r="X37" s="655"/>
      <c r="Y37" s="655"/>
      <c r="Z37" s="655"/>
      <c r="AA37" s="636"/>
    </row>
    <row r="38" spans="1:29" s="413" customFormat="1" ht="18" thickBot="1">
      <c r="A38" s="656" t="s">
        <v>799</v>
      </c>
      <c r="B38" s="655"/>
      <c r="C38" s="1865">
        <f>ROUND(C25+C35,0)</f>
        <v>125</v>
      </c>
      <c r="D38" s="636"/>
      <c r="E38" s="1865">
        <f>ROUND(E25+E35,0)</f>
        <v>2239</v>
      </c>
      <c r="F38" s="636"/>
      <c r="G38" s="1865">
        <f>ROUND(G25+G35,0)</f>
        <v>1877</v>
      </c>
      <c r="H38" s="636"/>
      <c r="I38" s="1865">
        <f>ROUND(I25+I35,0)</f>
        <v>195</v>
      </c>
      <c r="J38" s="636"/>
      <c r="K38" s="1865">
        <f>ROUND(K25+K35,0)</f>
        <v>603</v>
      </c>
      <c r="L38" s="636"/>
      <c r="M38" s="1865">
        <f>ROUND(M25+M35,0)</f>
        <v>550</v>
      </c>
      <c r="N38" s="636"/>
      <c r="O38" s="1865">
        <f>ROUND(O25+O35,0)</f>
        <v>172</v>
      </c>
      <c r="P38" s="636"/>
      <c r="Q38" s="1865">
        <f>ROUND(Q25+Q35,0)</f>
        <v>213</v>
      </c>
      <c r="R38" s="636"/>
      <c r="S38" s="1865">
        <f>ROUND(S25+S35,0)</f>
        <v>551</v>
      </c>
      <c r="T38" s="636"/>
      <c r="U38" s="1865">
        <f>ROUND(U25+U35,0)</f>
        <v>426</v>
      </c>
      <c r="V38" s="636"/>
      <c r="W38" s="1865">
        <f>ROUND(W25+W35,0)</f>
        <v>0</v>
      </c>
      <c r="X38" s="636"/>
      <c r="Y38" s="1865">
        <f>ROUND(Y25+Y35,0)</f>
        <v>0</v>
      </c>
      <c r="Z38" s="636"/>
      <c r="AA38" s="1865">
        <f>ROUND(AA25+AA35,0)</f>
        <v>6951</v>
      </c>
    </row>
    <row r="39" spans="1:29" ht="15.6" thickTop="1">
      <c r="A39" s="1214"/>
      <c r="C39" s="414"/>
      <c r="D39" s="414"/>
      <c r="E39" s="414"/>
      <c r="F39" s="414"/>
      <c r="G39" s="414"/>
      <c r="H39" s="414"/>
      <c r="I39" s="414"/>
      <c r="J39" s="414"/>
      <c r="K39" s="414"/>
      <c r="L39" s="414"/>
      <c r="M39" s="414"/>
      <c r="N39" s="414"/>
      <c r="O39" s="414"/>
      <c r="P39" s="414"/>
      <c r="Q39" s="414"/>
      <c r="R39" s="414"/>
      <c r="S39" s="414"/>
      <c r="T39" s="414"/>
      <c r="U39" s="414"/>
      <c r="V39" s="414"/>
      <c r="W39" s="414"/>
      <c r="X39" s="414"/>
      <c r="Y39" s="415"/>
      <c r="AA39" s="412"/>
    </row>
    <row r="40" spans="1:29" ht="13.8" thickBot="1"/>
    <row r="41" spans="1:29" ht="20.100000000000001" customHeight="1">
      <c r="A41" s="4001" t="s">
        <v>556</v>
      </c>
      <c r="B41" s="4002"/>
      <c r="C41" s="4002"/>
      <c r="D41" s="4002"/>
      <c r="E41" s="4002"/>
      <c r="F41" s="4002"/>
      <c r="G41" s="4002"/>
      <c r="H41" s="4002"/>
      <c r="I41" s="4002"/>
      <c r="J41" s="4002"/>
      <c r="K41" s="4002"/>
      <c r="L41" s="4002"/>
      <c r="M41" s="4002"/>
      <c r="N41" s="4002"/>
      <c r="O41" s="4002"/>
      <c r="P41" s="4002"/>
      <c r="Q41" s="4002"/>
      <c r="R41" s="4002"/>
      <c r="S41" s="4002"/>
      <c r="T41" s="4002"/>
      <c r="U41" s="4002"/>
      <c r="V41" s="4002"/>
      <c r="W41" s="4002"/>
      <c r="X41" s="4002"/>
      <c r="Y41" s="4002"/>
      <c r="Z41" s="4002"/>
      <c r="AA41" s="4003"/>
    </row>
    <row r="42" spans="1:29" ht="20.100000000000001" customHeight="1">
      <c r="A42" s="4004"/>
      <c r="B42" s="4005"/>
      <c r="C42" s="4005"/>
      <c r="D42" s="4005"/>
      <c r="E42" s="4005"/>
      <c r="F42" s="4005"/>
      <c r="G42" s="4005"/>
      <c r="H42" s="4005"/>
      <c r="I42" s="4005"/>
      <c r="J42" s="4005"/>
      <c r="K42" s="4005"/>
      <c r="L42" s="4005"/>
      <c r="M42" s="4005"/>
      <c r="N42" s="4005"/>
      <c r="O42" s="4005"/>
      <c r="P42" s="4005"/>
      <c r="Q42" s="4005"/>
      <c r="R42" s="4005"/>
      <c r="S42" s="4005"/>
      <c r="T42" s="4005"/>
      <c r="U42" s="4005"/>
      <c r="V42" s="4005"/>
      <c r="W42" s="4005"/>
      <c r="X42" s="4005"/>
      <c r="Y42" s="4005"/>
      <c r="Z42" s="4005"/>
      <c r="AA42" s="4006"/>
    </row>
    <row r="43" spans="1:29" ht="20.100000000000001" customHeight="1">
      <c r="A43" s="4004"/>
      <c r="B43" s="4005"/>
      <c r="C43" s="4005"/>
      <c r="D43" s="4005"/>
      <c r="E43" s="4005"/>
      <c r="F43" s="4005"/>
      <c r="G43" s="4005"/>
      <c r="H43" s="4005"/>
      <c r="I43" s="4005"/>
      <c r="J43" s="4005"/>
      <c r="K43" s="4005"/>
      <c r="L43" s="4005"/>
      <c r="M43" s="4005"/>
      <c r="N43" s="4005"/>
      <c r="O43" s="4005"/>
      <c r="P43" s="4005"/>
      <c r="Q43" s="4005"/>
      <c r="R43" s="4005"/>
      <c r="S43" s="4005"/>
      <c r="T43" s="4005"/>
      <c r="U43" s="4005"/>
      <c r="V43" s="4005"/>
      <c r="W43" s="4005"/>
      <c r="X43" s="4005"/>
      <c r="Y43" s="4005"/>
      <c r="Z43" s="4005"/>
      <c r="AA43" s="4006"/>
    </row>
    <row r="44" spans="1:29" ht="22.5" customHeight="1" thickBot="1">
      <c r="A44" s="4007"/>
      <c r="B44" s="4008"/>
      <c r="C44" s="4008"/>
      <c r="D44" s="4008"/>
      <c r="E44" s="4008"/>
      <c r="F44" s="4008"/>
      <c r="G44" s="4008"/>
      <c r="H44" s="4008"/>
      <c r="I44" s="4008"/>
      <c r="J44" s="4008"/>
      <c r="K44" s="4008"/>
      <c r="L44" s="4008"/>
      <c r="M44" s="4008"/>
      <c r="N44" s="4008"/>
      <c r="O44" s="4008"/>
      <c r="P44" s="4008"/>
      <c r="Q44" s="4008"/>
      <c r="R44" s="4008"/>
      <c r="S44" s="4008"/>
      <c r="T44" s="4008"/>
      <c r="U44" s="4008"/>
      <c r="V44" s="4008"/>
      <c r="W44" s="4008"/>
      <c r="X44" s="4008"/>
      <c r="Y44" s="4008"/>
      <c r="Z44" s="4008"/>
      <c r="AA44" s="4009"/>
    </row>
    <row r="46" spans="1:29" ht="14.85" customHeight="1"/>
    <row r="49" ht="14.1" customHeight="1"/>
  </sheetData>
  <mergeCells count="1">
    <mergeCell ref="A41:AA44"/>
  </mergeCells>
  <pageMargins left="0.25" right="0.25" top="0.5" bottom="0.25" header="0" footer="0.25"/>
  <pageSetup scale="48"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2"/>
  <sheetViews>
    <sheetView showGridLines="0" zoomScale="80" zoomScaleNormal="80" workbookViewId="0"/>
  </sheetViews>
  <sheetFormatPr defaultRowHeight="14.4"/>
  <cols>
    <col min="1" max="1" width="2.08984375" style="2821" customWidth="1"/>
    <col min="2" max="2" width="10.08984375" style="2821" customWidth="1"/>
    <col min="3" max="3" width="2.08984375" style="2950" customWidth="1"/>
    <col min="4" max="4" width="50.453125" style="2821" customWidth="1"/>
    <col min="5" max="5" width="8.81640625" style="2950" customWidth="1"/>
    <col min="6" max="6" width="2.08984375" style="2951" customWidth="1"/>
    <col min="7" max="7" width="21.81640625" style="2952" bestFit="1" customWidth="1"/>
    <col min="8" max="8" width="2.08984375" style="2950" customWidth="1"/>
    <col min="9" max="9" width="21.54296875" style="2821" bestFit="1" customWidth="1"/>
    <col min="10" max="10" width="2.08984375" style="2950" customWidth="1"/>
    <col min="11" max="11" width="21.81640625" style="2821" bestFit="1" customWidth="1"/>
    <col min="12" max="12" width="2.08984375" style="2950" customWidth="1"/>
    <col min="13" max="13" width="20.81640625" style="2821" customWidth="1"/>
    <col min="14" max="14" width="2.08984375" style="2950" customWidth="1"/>
    <col min="15" max="15" width="22.08984375" style="3548" bestFit="1" customWidth="1"/>
    <col min="16" max="16" width="6.08984375" style="2821" bestFit="1" customWidth="1"/>
    <col min="17" max="17" width="13.08984375" style="2821" bestFit="1" customWidth="1"/>
    <col min="18" max="255" width="8.81640625" style="2821"/>
    <col min="256" max="257" width="8.81640625" style="2821" customWidth="1"/>
    <col min="258" max="258" width="10.08984375" style="2821" customWidth="1"/>
    <col min="259" max="259" width="2.08984375" style="2821" customWidth="1"/>
    <col min="260" max="260" width="50.453125" style="2821" customWidth="1"/>
    <col min="261" max="261" width="8.81640625" style="2821"/>
    <col min="262" max="262" width="2.08984375" style="2821" customWidth="1"/>
    <col min="263" max="263" width="23.81640625" style="2821" customWidth="1"/>
    <col min="264" max="264" width="2.08984375" style="2821" customWidth="1"/>
    <col min="265" max="265" width="23.81640625" style="2821" customWidth="1"/>
    <col min="266" max="266" width="2.08984375" style="2821" customWidth="1"/>
    <col min="267" max="267" width="23.81640625" style="2821" customWidth="1"/>
    <col min="268" max="268" width="2.08984375" style="2821" customWidth="1"/>
    <col min="269" max="269" width="23.81640625" style="2821" customWidth="1"/>
    <col min="270" max="270" width="2.08984375" style="2821" customWidth="1"/>
    <col min="271" max="271" width="23.81640625" style="2821" customWidth="1"/>
    <col min="272" max="272" width="2.81640625" style="2821" bestFit="1" customWidth="1"/>
    <col min="273" max="511" width="8.81640625" style="2821"/>
    <col min="512" max="513" width="8.81640625" style="2821" customWidth="1"/>
    <col min="514" max="514" width="10.08984375" style="2821" customWidth="1"/>
    <col min="515" max="515" width="2.08984375" style="2821" customWidth="1"/>
    <col min="516" max="516" width="50.453125" style="2821" customWidth="1"/>
    <col min="517" max="517" width="8.81640625" style="2821"/>
    <col min="518" max="518" width="2.08984375" style="2821" customWidth="1"/>
    <col min="519" max="519" width="23.81640625" style="2821" customWidth="1"/>
    <col min="520" max="520" width="2.08984375" style="2821" customWidth="1"/>
    <col min="521" max="521" width="23.81640625" style="2821" customWidth="1"/>
    <col min="522" max="522" width="2.08984375" style="2821" customWidth="1"/>
    <col min="523" max="523" width="23.81640625" style="2821" customWidth="1"/>
    <col min="524" max="524" width="2.08984375" style="2821" customWidth="1"/>
    <col min="525" max="525" width="23.81640625" style="2821" customWidth="1"/>
    <col min="526" max="526" width="2.08984375" style="2821" customWidth="1"/>
    <col min="527" max="527" width="23.81640625" style="2821" customWidth="1"/>
    <col min="528" max="528" width="2.81640625" style="2821" bestFit="1" customWidth="1"/>
    <col min="529" max="767" width="8.81640625" style="2821"/>
    <col min="768" max="769" width="8.81640625" style="2821" customWidth="1"/>
    <col min="770" max="770" width="10.08984375" style="2821" customWidth="1"/>
    <col min="771" max="771" width="2.08984375" style="2821" customWidth="1"/>
    <col min="772" max="772" width="50.453125" style="2821" customWidth="1"/>
    <col min="773" max="773" width="8.81640625" style="2821"/>
    <col min="774" max="774" width="2.08984375" style="2821" customWidth="1"/>
    <col min="775" max="775" width="23.81640625" style="2821" customWidth="1"/>
    <col min="776" max="776" width="2.08984375" style="2821" customWidth="1"/>
    <col min="777" max="777" width="23.81640625" style="2821" customWidth="1"/>
    <col min="778" max="778" width="2.08984375" style="2821" customWidth="1"/>
    <col min="779" max="779" width="23.81640625" style="2821" customWidth="1"/>
    <col min="780" max="780" width="2.08984375" style="2821" customWidth="1"/>
    <col min="781" max="781" width="23.81640625" style="2821" customWidth="1"/>
    <col min="782" max="782" width="2.08984375" style="2821" customWidth="1"/>
    <col min="783" max="783" width="23.81640625" style="2821" customWidth="1"/>
    <col min="784" max="784" width="2.81640625" style="2821" bestFit="1" customWidth="1"/>
    <col min="785" max="1023" width="8.81640625" style="2821"/>
    <col min="1024" max="1025" width="8.81640625" style="2821" customWidth="1"/>
    <col min="1026" max="1026" width="10.08984375" style="2821" customWidth="1"/>
    <col min="1027" max="1027" width="2.08984375" style="2821" customWidth="1"/>
    <col min="1028" max="1028" width="50.453125" style="2821" customWidth="1"/>
    <col min="1029" max="1029" width="8.81640625" style="2821"/>
    <col min="1030" max="1030" width="2.08984375" style="2821" customWidth="1"/>
    <col min="1031" max="1031" width="23.81640625" style="2821" customWidth="1"/>
    <col min="1032" max="1032" width="2.08984375" style="2821" customWidth="1"/>
    <col min="1033" max="1033" width="23.81640625" style="2821" customWidth="1"/>
    <col min="1034" max="1034" width="2.08984375" style="2821" customWidth="1"/>
    <col min="1035" max="1035" width="23.81640625" style="2821" customWidth="1"/>
    <col min="1036" max="1036" width="2.08984375" style="2821" customWidth="1"/>
    <col min="1037" max="1037" width="23.81640625" style="2821" customWidth="1"/>
    <col min="1038" max="1038" width="2.08984375" style="2821" customWidth="1"/>
    <col min="1039" max="1039" width="23.81640625" style="2821" customWidth="1"/>
    <col min="1040" max="1040" width="2.81640625" style="2821" bestFit="1" customWidth="1"/>
    <col min="1041" max="1279" width="8.81640625" style="2821"/>
    <col min="1280" max="1281" width="8.81640625" style="2821" customWidth="1"/>
    <col min="1282" max="1282" width="10.08984375" style="2821" customWidth="1"/>
    <col min="1283" max="1283" width="2.08984375" style="2821" customWidth="1"/>
    <col min="1284" max="1284" width="50.453125" style="2821" customWidth="1"/>
    <col min="1285" max="1285" width="8.81640625" style="2821"/>
    <col min="1286" max="1286" width="2.08984375" style="2821" customWidth="1"/>
    <col min="1287" max="1287" width="23.81640625" style="2821" customWidth="1"/>
    <col min="1288" max="1288" width="2.08984375" style="2821" customWidth="1"/>
    <col min="1289" max="1289" width="23.81640625" style="2821" customWidth="1"/>
    <col min="1290" max="1290" width="2.08984375" style="2821" customWidth="1"/>
    <col min="1291" max="1291" width="23.81640625" style="2821" customWidth="1"/>
    <col min="1292" max="1292" width="2.08984375" style="2821" customWidth="1"/>
    <col min="1293" max="1293" width="23.81640625" style="2821" customWidth="1"/>
    <col min="1294" max="1294" width="2.08984375" style="2821" customWidth="1"/>
    <col min="1295" max="1295" width="23.81640625" style="2821" customWidth="1"/>
    <col min="1296" max="1296" width="2.81640625" style="2821" bestFit="1" customWidth="1"/>
    <col min="1297" max="1535" width="8.81640625" style="2821"/>
    <col min="1536" max="1537" width="8.81640625" style="2821" customWidth="1"/>
    <col min="1538" max="1538" width="10.08984375" style="2821" customWidth="1"/>
    <col min="1539" max="1539" width="2.08984375" style="2821" customWidth="1"/>
    <col min="1540" max="1540" width="50.453125" style="2821" customWidth="1"/>
    <col min="1541" max="1541" width="8.81640625" style="2821"/>
    <col min="1542" max="1542" width="2.08984375" style="2821" customWidth="1"/>
    <col min="1543" max="1543" width="23.81640625" style="2821" customWidth="1"/>
    <col min="1544" max="1544" width="2.08984375" style="2821" customWidth="1"/>
    <col min="1545" max="1545" width="23.81640625" style="2821" customWidth="1"/>
    <col min="1546" max="1546" width="2.08984375" style="2821" customWidth="1"/>
    <col min="1547" max="1547" width="23.81640625" style="2821" customWidth="1"/>
    <col min="1548" max="1548" width="2.08984375" style="2821" customWidth="1"/>
    <col min="1549" max="1549" width="23.81640625" style="2821" customWidth="1"/>
    <col min="1550" max="1550" width="2.08984375" style="2821" customWidth="1"/>
    <col min="1551" max="1551" width="23.81640625" style="2821" customWidth="1"/>
    <col min="1552" max="1552" width="2.81640625" style="2821" bestFit="1" customWidth="1"/>
    <col min="1553" max="1791" width="8.81640625" style="2821"/>
    <col min="1792" max="1793" width="8.81640625" style="2821" customWidth="1"/>
    <col min="1794" max="1794" width="10.08984375" style="2821" customWidth="1"/>
    <col min="1795" max="1795" width="2.08984375" style="2821" customWidth="1"/>
    <col min="1796" max="1796" width="50.453125" style="2821" customWidth="1"/>
    <col min="1797" max="1797" width="8.81640625" style="2821"/>
    <col min="1798" max="1798" width="2.08984375" style="2821" customWidth="1"/>
    <col min="1799" max="1799" width="23.81640625" style="2821" customWidth="1"/>
    <col min="1800" max="1800" width="2.08984375" style="2821" customWidth="1"/>
    <col min="1801" max="1801" width="23.81640625" style="2821" customWidth="1"/>
    <col min="1802" max="1802" width="2.08984375" style="2821" customWidth="1"/>
    <col min="1803" max="1803" width="23.81640625" style="2821" customWidth="1"/>
    <col min="1804" max="1804" width="2.08984375" style="2821" customWidth="1"/>
    <col min="1805" max="1805" width="23.81640625" style="2821" customWidth="1"/>
    <col min="1806" max="1806" width="2.08984375" style="2821" customWidth="1"/>
    <col min="1807" max="1807" width="23.81640625" style="2821" customWidth="1"/>
    <col min="1808" max="1808" width="2.81640625" style="2821" bestFit="1" customWidth="1"/>
    <col min="1809" max="2047" width="8.81640625" style="2821"/>
    <col min="2048" max="2049" width="8.81640625" style="2821" customWidth="1"/>
    <col min="2050" max="2050" width="10.08984375" style="2821" customWidth="1"/>
    <col min="2051" max="2051" width="2.08984375" style="2821" customWidth="1"/>
    <col min="2052" max="2052" width="50.453125" style="2821" customWidth="1"/>
    <col min="2053" max="2053" width="8.81640625" style="2821"/>
    <col min="2054" max="2054" width="2.08984375" style="2821" customWidth="1"/>
    <col min="2055" max="2055" width="23.81640625" style="2821" customWidth="1"/>
    <col min="2056" max="2056" width="2.08984375" style="2821" customWidth="1"/>
    <col min="2057" max="2057" width="23.81640625" style="2821" customWidth="1"/>
    <col min="2058" max="2058" width="2.08984375" style="2821" customWidth="1"/>
    <col min="2059" max="2059" width="23.81640625" style="2821" customWidth="1"/>
    <col min="2060" max="2060" width="2.08984375" style="2821" customWidth="1"/>
    <col min="2061" max="2061" width="23.81640625" style="2821" customWidth="1"/>
    <col min="2062" max="2062" width="2.08984375" style="2821" customWidth="1"/>
    <col min="2063" max="2063" width="23.81640625" style="2821" customWidth="1"/>
    <col min="2064" max="2064" width="2.81640625" style="2821" bestFit="1" customWidth="1"/>
    <col min="2065" max="2303" width="8.81640625" style="2821"/>
    <col min="2304" max="2305" width="8.81640625" style="2821" customWidth="1"/>
    <col min="2306" max="2306" width="10.08984375" style="2821" customWidth="1"/>
    <col min="2307" max="2307" width="2.08984375" style="2821" customWidth="1"/>
    <col min="2308" max="2308" width="50.453125" style="2821" customWidth="1"/>
    <col min="2309" max="2309" width="8.81640625" style="2821"/>
    <col min="2310" max="2310" width="2.08984375" style="2821" customWidth="1"/>
    <col min="2311" max="2311" width="23.81640625" style="2821" customWidth="1"/>
    <col min="2312" max="2312" width="2.08984375" style="2821" customWidth="1"/>
    <col min="2313" max="2313" width="23.81640625" style="2821" customWidth="1"/>
    <col min="2314" max="2314" width="2.08984375" style="2821" customWidth="1"/>
    <col min="2315" max="2315" width="23.81640625" style="2821" customWidth="1"/>
    <col min="2316" max="2316" width="2.08984375" style="2821" customWidth="1"/>
    <col min="2317" max="2317" width="23.81640625" style="2821" customWidth="1"/>
    <col min="2318" max="2318" width="2.08984375" style="2821" customWidth="1"/>
    <col min="2319" max="2319" width="23.81640625" style="2821" customWidth="1"/>
    <col min="2320" max="2320" width="2.81640625" style="2821" bestFit="1" customWidth="1"/>
    <col min="2321" max="2559" width="8.81640625" style="2821"/>
    <col min="2560" max="2561" width="8.81640625" style="2821" customWidth="1"/>
    <col min="2562" max="2562" width="10.08984375" style="2821" customWidth="1"/>
    <col min="2563" max="2563" width="2.08984375" style="2821" customWidth="1"/>
    <col min="2564" max="2564" width="50.453125" style="2821" customWidth="1"/>
    <col min="2565" max="2565" width="8.81640625" style="2821"/>
    <col min="2566" max="2566" width="2.08984375" style="2821" customWidth="1"/>
    <col min="2567" max="2567" width="23.81640625" style="2821" customWidth="1"/>
    <col min="2568" max="2568" width="2.08984375" style="2821" customWidth="1"/>
    <col min="2569" max="2569" width="23.81640625" style="2821" customWidth="1"/>
    <col min="2570" max="2570" width="2.08984375" style="2821" customWidth="1"/>
    <col min="2571" max="2571" width="23.81640625" style="2821" customWidth="1"/>
    <col min="2572" max="2572" width="2.08984375" style="2821" customWidth="1"/>
    <col min="2573" max="2573" width="23.81640625" style="2821" customWidth="1"/>
    <col min="2574" max="2574" width="2.08984375" style="2821" customWidth="1"/>
    <col min="2575" max="2575" width="23.81640625" style="2821" customWidth="1"/>
    <col min="2576" max="2576" width="2.81640625" style="2821" bestFit="1" customWidth="1"/>
    <col min="2577" max="2815" width="8.81640625" style="2821"/>
    <col min="2816" max="2817" width="8.81640625" style="2821" customWidth="1"/>
    <col min="2818" max="2818" width="10.08984375" style="2821" customWidth="1"/>
    <col min="2819" max="2819" width="2.08984375" style="2821" customWidth="1"/>
    <col min="2820" max="2820" width="50.453125" style="2821" customWidth="1"/>
    <col min="2821" max="2821" width="8.81640625" style="2821"/>
    <col min="2822" max="2822" width="2.08984375" style="2821" customWidth="1"/>
    <col min="2823" max="2823" width="23.81640625" style="2821" customWidth="1"/>
    <col min="2824" max="2824" width="2.08984375" style="2821" customWidth="1"/>
    <col min="2825" max="2825" width="23.81640625" style="2821" customWidth="1"/>
    <col min="2826" max="2826" width="2.08984375" style="2821" customWidth="1"/>
    <col min="2827" max="2827" width="23.81640625" style="2821" customWidth="1"/>
    <col min="2828" max="2828" width="2.08984375" style="2821" customWidth="1"/>
    <col min="2829" max="2829" width="23.81640625" style="2821" customWidth="1"/>
    <col min="2830" max="2830" width="2.08984375" style="2821" customWidth="1"/>
    <col min="2831" max="2831" width="23.81640625" style="2821" customWidth="1"/>
    <col min="2832" max="2832" width="2.81640625" style="2821" bestFit="1" customWidth="1"/>
    <col min="2833" max="3071" width="8.81640625" style="2821"/>
    <col min="3072" max="3073" width="8.81640625" style="2821" customWidth="1"/>
    <col min="3074" max="3074" width="10.08984375" style="2821" customWidth="1"/>
    <col min="3075" max="3075" width="2.08984375" style="2821" customWidth="1"/>
    <col min="3076" max="3076" width="50.453125" style="2821" customWidth="1"/>
    <col min="3077" max="3077" width="8.81640625" style="2821"/>
    <col min="3078" max="3078" width="2.08984375" style="2821" customWidth="1"/>
    <col min="3079" max="3079" width="23.81640625" style="2821" customWidth="1"/>
    <col min="3080" max="3080" width="2.08984375" style="2821" customWidth="1"/>
    <col min="3081" max="3081" width="23.81640625" style="2821" customWidth="1"/>
    <col min="3082" max="3082" width="2.08984375" style="2821" customWidth="1"/>
    <col min="3083" max="3083" width="23.81640625" style="2821" customWidth="1"/>
    <col min="3084" max="3084" width="2.08984375" style="2821" customWidth="1"/>
    <col min="3085" max="3085" width="23.81640625" style="2821" customWidth="1"/>
    <col min="3086" max="3086" width="2.08984375" style="2821" customWidth="1"/>
    <col min="3087" max="3087" width="23.81640625" style="2821" customWidth="1"/>
    <col min="3088" max="3088" width="2.81640625" style="2821" bestFit="1" customWidth="1"/>
    <col min="3089" max="3327" width="8.81640625" style="2821"/>
    <col min="3328" max="3329" width="8.81640625" style="2821" customWidth="1"/>
    <col min="3330" max="3330" width="10.08984375" style="2821" customWidth="1"/>
    <col min="3331" max="3331" width="2.08984375" style="2821" customWidth="1"/>
    <col min="3332" max="3332" width="50.453125" style="2821" customWidth="1"/>
    <col min="3333" max="3333" width="8.81640625" style="2821"/>
    <col min="3334" max="3334" width="2.08984375" style="2821" customWidth="1"/>
    <col min="3335" max="3335" width="23.81640625" style="2821" customWidth="1"/>
    <col min="3336" max="3336" width="2.08984375" style="2821" customWidth="1"/>
    <col min="3337" max="3337" width="23.81640625" style="2821" customWidth="1"/>
    <col min="3338" max="3338" width="2.08984375" style="2821" customWidth="1"/>
    <col min="3339" max="3339" width="23.81640625" style="2821" customWidth="1"/>
    <col min="3340" max="3340" width="2.08984375" style="2821" customWidth="1"/>
    <col min="3341" max="3341" width="23.81640625" style="2821" customWidth="1"/>
    <col min="3342" max="3342" width="2.08984375" style="2821" customWidth="1"/>
    <col min="3343" max="3343" width="23.81640625" style="2821" customWidth="1"/>
    <col min="3344" max="3344" width="2.81640625" style="2821" bestFit="1" customWidth="1"/>
    <col min="3345" max="3583" width="8.81640625" style="2821"/>
    <col min="3584" max="3585" width="8.81640625" style="2821" customWidth="1"/>
    <col min="3586" max="3586" width="10.08984375" style="2821" customWidth="1"/>
    <col min="3587" max="3587" width="2.08984375" style="2821" customWidth="1"/>
    <col min="3588" max="3588" width="50.453125" style="2821" customWidth="1"/>
    <col min="3589" max="3589" width="8.81640625" style="2821"/>
    <col min="3590" max="3590" width="2.08984375" style="2821" customWidth="1"/>
    <col min="3591" max="3591" width="23.81640625" style="2821" customWidth="1"/>
    <col min="3592" max="3592" width="2.08984375" style="2821" customWidth="1"/>
    <col min="3593" max="3593" width="23.81640625" style="2821" customWidth="1"/>
    <col min="3594" max="3594" width="2.08984375" style="2821" customWidth="1"/>
    <col min="3595" max="3595" width="23.81640625" style="2821" customWidth="1"/>
    <col min="3596" max="3596" width="2.08984375" style="2821" customWidth="1"/>
    <col min="3597" max="3597" width="23.81640625" style="2821" customWidth="1"/>
    <col min="3598" max="3598" width="2.08984375" style="2821" customWidth="1"/>
    <col min="3599" max="3599" width="23.81640625" style="2821" customWidth="1"/>
    <col min="3600" max="3600" width="2.81640625" style="2821" bestFit="1" customWidth="1"/>
    <col min="3601" max="3839" width="8.81640625" style="2821"/>
    <col min="3840" max="3841" width="8.81640625" style="2821" customWidth="1"/>
    <col min="3842" max="3842" width="10.08984375" style="2821" customWidth="1"/>
    <col min="3843" max="3843" width="2.08984375" style="2821" customWidth="1"/>
    <col min="3844" max="3844" width="50.453125" style="2821" customWidth="1"/>
    <col min="3845" max="3845" width="8.81640625" style="2821"/>
    <col min="3846" max="3846" width="2.08984375" style="2821" customWidth="1"/>
    <col min="3847" max="3847" width="23.81640625" style="2821" customWidth="1"/>
    <col min="3848" max="3848" width="2.08984375" style="2821" customWidth="1"/>
    <col min="3849" max="3849" width="23.81640625" style="2821" customWidth="1"/>
    <col min="3850" max="3850" width="2.08984375" style="2821" customWidth="1"/>
    <col min="3851" max="3851" width="23.81640625" style="2821" customWidth="1"/>
    <col min="3852" max="3852" width="2.08984375" style="2821" customWidth="1"/>
    <col min="3853" max="3853" width="23.81640625" style="2821" customWidth="1"/>
    <col min="3854" max="3854" width="2.08984375" style="2821" customWidth="1"/>
    <col min="3855" max="3855" width="23.81640625" style="2821" customWidth="1"/>
    <col min="3856" max="3856" width="2.81640625" style="2821" bestFit="1" customWidth="1"/>
    <col min="3857" max="4095" width="8.81640625" style="2821"/>
    <col min="4096" max="4097" width="8.81640625" style="2821" customWidth="1"/>
    <col min="4098" max="4098" width="10.08984375" style="2821" customWidth="1"/>
    <col min="4099" max="4099" width="2.08984375" style="2821" customWidth="1"/>
    <col min="4100" max="4100" width="50.453125" style="2821" customWidth="1"/>
    <col min="4101" max="4101" width="8.81640625" style="2821"/>
    <col min="4102" max="4102" width="2.08984375" style="2821" customWidth="1"/>
    <col min="4103" max="4103" width="23.81640625" style="2821" customWidth="1"/>
    <col min="4104" max="4104" width="2.08984375" style="2821" customWidth="1"/>
    <col min="4105" max="4105" width="23.81640625" style="2821" customWidth="1"/>
    <col min="4106" max="4106" width="2.08984375" style="2821" customWidth="1"/>
    <col min="4107" max="4107" width="23.81640625" style="2821" customWidth="1"/>
    <col min="4108" max="4108" width="2.08984375" style="2821" customWidth="1"/>
    <col min="4109" max="4109" width="23.81640625" style="2821" customWidth="1"/>
    <col min="4110" max="4110" width="2.08984375" style="2821" customWidth="1"/>
    <col min="4111" max="4111" width="23.81640625" style="2821" customWidth="1"/>
    <col min="4112" max="4112" width="2.81640625" style="2821" bestFit="1" customWidth="1"/>
    <col min="4113" max="4351" width="8.81640625" style="2821"/>
    <col min="4352" max="4353" width="8.81640625" style="2821" customWidth="1"/>
    <col min="4354" max="4354" width="10.08984375" style="2821" customWidth="1"/>
    <col min="4355" max="4355" width="2.08984375" style="2821" customWidth="1"/>
    <col min="4356" max="4356" width="50.453125" style="2821" customWidth="1"/>
    <col min="4357" max="4357" width="8.81640625" style="2821"/>
    <col min="4358" max="4358" width="2.08984375" style="2821" customWidth="1"/>
    <col min="4359" max="4359" width="23.81640625" style="2821" customWidth="1"/>
    <col min="4360" max="4360" width="2.08984375" style="2821" customWidth="1"/>
    <col min="4361" max="4361" width="23.81640625" style="2821" customWidth="1"/>
    <col min="4362" max="4362" width="2.08984375" style="2821" customWidth="1"/>
    <col min="4363" max="4363" width="23.81640625" style="2821" customWidth="1"/>
    <col min="4364" max="4364" width="2.08984375" style="2821" customWidth="1"/>
    <col min="4365" max="4365" width="23.81640625" style="2821" customWidth="1"/>
    <col min="4366" max="4366" width="2.08984375" style="2821" customWidth="1"/>
    <col min="4367" max="4367" width="23.81640625" style="2821" customWidth="1"/>
    <col min="4368" max="4368" width="2.81640625" style="2821" bestFit="1" customWidth="1"/>
    <col min="4369" max="4607" width="8.81640625" style="2821"/>
    <col min="4608" max="4609" width="8.81640625" style="2821" customWidth="1"/>
    <col min="4610" max="4610" width="10.08984375" style="2821" customWidth="1"/>
    <col min="4611" max="4611" width="2.08984375" style="2821" customWidth="1"/>
    <col min="4612" max="4612" width="50.453125" style="2821" customWidth="1"/>
    <col min="4613" max="4613" width="8.81640625" style="2821"/>
    <col min="4614" max="4614" width="2.08984375" style="2821" customWidth="1"/>
    <col min="4615" max="4615" width="23.81640625" style="2821" customWidth="1"/>
    <col min="4616" max="4616" width="2.08984375" style="2821" customWidth="1"/>
    <col min="4617" max="4617" width="23.81640625" style="2821" customWidth="1"/>
    <col min="4618" max="4618" width="2.08984375" style="2821" customWidth="1"/>
    <col min="4619" max="4619" width="23.81640625" style="2821" customWidth="1"/>
    <col min="4620" max="4620" width="2.08984375" style="2821" customWidth="1"/>
    <col min="4621" max="4621" width="23.81640625" style="2821" customWidth="1"/>
    <col min="4622" max="4622" width="2.08984375" style="2821" customWidth="1"/>
    <col min="4623" max="4623" width="23.81640625" style="2821" customWidth="1"/>
    <col min="4624" max="4624" width="2.81640625" style="2821" bestFit="1" customWidth="1"/>
    <col min="4625" max="4863" width="8.81640625" style="2821"/>
    <col min="4864" max="4865" width="8.81640625" style="2821" customWidth="1"/>
    <col min="4866" max="4866" width="10.08984375" style="2821" customWidth="1"/>
    <col min="4867" max="4867" width="2.08984375" style="2821" customWidth="1"/>
    <col min="4868" max="4868" width="50.453125" style="2821" customWidth="1"/>
    <col min="4869" max="4869" width="8.81640625" style="2821"/>
    <col min="4870" max="4870" width="2.08984375" style="2821" customWidth="1"/>
    <col min="4871" max="4871" width="23.81640625" style="2821" customWidth="1"/>
    <col min="4872" max="4872" width="2.08984375" style="2821" customWidth="1"/>
    <col min="4873" max="4873" width="23.81640625" style="2821" customWidth="1"/>
    <col min="4874" max="4874" width="2.08984375" style="2821" customWidth="1"/>
    <col min="4875" max="4875" width="23.81640625" style="2821" customWidth="1"/>
    <col min="4876" max="4876" width="2.08984375" style="2821" customWidth="1"/>
    <col min="4877" max="4877" width="23.81640625" style="2821" customWidth="1"/>
    <col min="4878" max="4878" width="2.08984375" style="2821" customWidth="1"/>
    <col min="4879" max="4879" width="23.81640625" style="2821" customWidth="1"/>
    <col min="4880" max="4880" width="2.81640625" style="2821" bestFit="1" customWidth="1"/>
    <col min="4881" max="5119" width="8.81640625" style="2821"/>
    <col min="5120" max="5121" width="8.81640625" style="2821" customWidth="1"/>
    <col min="5122" max="5122" width="10.08984375" style="2821" customWidth="1"/>
    <col min="5123" max="5123" width="2.08984375" style="2821" customWidth="1"/>
    <col min="5124" max="5124" width="50.453125" style="2821" customWidth="1"/>
    <col min="5125" max="5125" width="8.81640625" style="2821"/>
    <col min="5126" max="5126" width="2.08984375" style="2821" customWidth="1"/>
    <col min="5127" max="5127" width="23.81640625" style="2821" customWidth="1"/>
    <col min="5128" max="5128" width="2.08984375" style="2821" customWidth="1"/>
    <col min="5129" max="5129" width="23.81640625" style="2821" customWidth="1"/>
    <col min="5130" max="5130" width="2.08984375" style="2821" customWidth="1"/>
    <col min="5131" max="5131" width="23.81640625" style="2821" customWidth="1"/>
    <col min="5132" max="5132" width="2.08984375" style="2821" customWidth="1"/>
    <col min="5133" max="5133" width="23.81640625" style="2821" customWidth="1"/>
    <col min="5134" max="5134" width="2.08984375" style="2821" customWidth="1"/>
    <col min="5135" max="5135" width="23.81640625" style="2821" customWidth="1"/>
    <col min="5136" max="5136" width="2.81640625" style="2821" bestFit="1" customWidth="1"/>
    <col min="5137" max="5375" width="8.81640625" style="2821"/>
    <col min="5376" max="5377" width="8.81640625" style="2821" customWidth="1"/>
    <col min="5378" max="5378" width="10.08984375" style="2821" customWidth="1"/>
    <col min="5379" max="5379" width="2.08984375" style="2821" customWidth="1"/>
    <col min="5380" max="5380" width="50.453125" style="2821" customWidth="1"/>
    <col min="5381" max="5381" width="8.81640625" style="2821"/>
    <col min="5382" max="5382" width="2.08984375" style="2821" customWidth="1"/>
    <col min="5383" max="5383" width="23.81640625" style="2821" customWidth="1"/>
    <col min="5384" max="5384" width="2.08984375" style="2821" customWidth="1"/>
    <col min="5385" max="5385" width="23.81640625" style="2821" customWidth="1"/>
    <col min="5386" max="5386" width="2.08984375" style="2821" customWidth="1"/>
    <col min="5387" max="5387" width="23.81640625" style="2821" customWidth="1"/>
    <col min="5388" max="5388" width="2.08984375" style="2821" customWidth="1"/>
    <col min="5389" max="5389" width="23.81640625" style="2821" customWidth="1"/>
    <col min="5390" max="5390" width="2.08984375" style="2821" customWidth="1"/>
    <col min="5391" max="5391" width="23.81640625" style="2821" customWidth="1"/>
    <col min="5392" max="5392" width="2.81640625" style="2821" bestFit="1" customWidth="1"/>
    <col min="5393" max="5631" width="8.81640625" style="2821"/>
    <col min="5632" max="5633" width="8.81640625" style="2821" customWidth="1"/>
    <col min="5634" max="5634" width="10.08984375" style="2821" customWidth="1"/>
    <col min="5635" max="5635" width="2.08984375" style="2821" customWidth="1"/>
    <col min="5636" max="5636" width="50.453125" style="2821" customWidth="1"/>
    <col min="5637" max="5637" width="8.81640625" style="2821"/>
    <col min="5638" max="5638" width="2.08984375" style="2821" customWidth="1"/>
    <col min="5639" max="5639" width="23.81640625" style="2821" customWidth="1"/>
    <col min="5640" max="5640" width="2.08984375" style="2821" customWidth="1"/>
    <col min="5641" max="5641" width="23.81640625" style="2821" customWidth="1"/>
    <col min="5642" max="5642" width="2.08984375" style="2821" customWidth="1"/>
    <col min="5643" max="5643" width="23.81640625" style="2821" customWidth="1"/>
    <col min="5644" max="5644" width="2.08984375" style="2821" customWidth="1"/>
    <col min="5645" max="5645" width="23.81640625" style="2821" customWidth="1"/>
    <col min="5646" max="5646" width="2.08984375" style="2821" customWidth="1"/>
    <col min="5647" max="5647" width="23.81640625" style="2821" customWidth="1"/>
    <col min="5648" max="5648" width="2.81640625" style="2821" bestFit="1" customWidth="1"/>
    <col min="5649" max="5887" width="8.81640625" style="2821"/>
    <col min="5888" max="5889" width="8.81640625" style="2821" customWidth="1"/>
    <col min="5890" max="5890" width="10.08984375" style="2821" customWidth="1"/>
    <col min="5891" max="5891" width="2.08984375" style="2821" customWidth="1"/>
    <col min="5892" max="5892" width="50.453125" style="2821" customWidth="1"/>
    <col min="5893" max="5893" width="8.81640625" style="2821"/>
    <col min="5894" max="5894" width="2.08984375" style="2821" customWidth="1"/>
    <col min="5895" max="5895" width="23.81640625" style="2821" customWidth="1"/>
    <col min="5896" max="5896" width="2.08984375" style="2821" customWidth="1"/>
    <col min="5897" max="5897" width="23.81640625" style="2821" customWidth="1"/>
    <col min="5898" max="5898" width="2.08984375" style="2821" customWidth="1"/>
    <col min="5899" max="5899" width="23.81640625" style="2821" customWidth="1"/>
    <col min="5900" max="5900" width="2.08984375" style="2821" customWidth="1"/>
    <col min="5901" max="5901" width="23.81640625" style="2821" customWidth="1"/>
    <col min="5902" max="5902" width="2.08984375" style="2821" customWidth="1"/>
    <col min="5903" max="5903" width="23.81640625" style="2821" customWidth="1"/>
    <col min="5904" max="5904" width="2.81640625" style="2821" bestFit="1" customWidth="1"/>
    <col min="5905" max="6143" width="8.81640625" style="2821"/>
    <col min="6144" max="6145" width="8.81640625" style="2821" customWidth="1"/>
    <col min="6146" max="6146" width="10.08984375" style="2821" customWidth="1"/>
    <col min="6147" max="6147" width="2.08984375" style="2821" customWidth="1"/>
    <col min="6148" max="6148" width="50.453125" style="2821" customWidth="1"/>
    <col min="6149" max="6149" width="8.81640625" style="2821"/>
    <col min="6150" max="6150" width="2.08984375" style="2821" customWidth="1"/>
    <col min="6151" max="6151" width="23.81640625" style="2821" customWidth="1"/>
    <col min="6152" max="6152" width="2.08984375" style="2821" customWidth="1"/>
    <col min="6153" max="6153" width="23.81640625" style="2821" customWidth="1"/>
    <col min="6154" max="6154" width="2.08984375" style="2821" customWidth="1"/>
    <col min="6155" max="6155" width="23.81640625" style="2821" customWidth="1"/>
    <col min="6156" max="6156" width="2.08984375" style="2821" customWidth="1"/>
    <col min="6157" max="6157" width="23.81640625" style="2821" customWidth="1"/>
    <col min="6158" max="6158" width="2.08984375" style="2821" customWidth="1"/>
    <col min="6159" max="6159" width="23.81640625" style="2821" customWidth="1"/>
    <col min="6160" max="6160" width="2.81640625" style="2821" bestFit="1" customWidth="1"/>
    <col min="6161" max="6399" width="8.81640625" style="2821"/>
    <col min="6400" max="6401" width="8.81640625" style="2821" customWidth="1"/>
    <col min="6402" max="6402" width="10.08984375" style="2821" customWidth="1"/>
    <col min="6403" max="6403" width="2.08984375" style="2821" customWidth="1"/>
    <col min="6404" max="6404" width="50.453125" style="2821" customWidth="1"/>
    <col min="6405" max="6405" width="8.81640625" style="2821"/>
    <col min="6406" max="6406" width="2.08984375" style="2821" customWidth="1"/>
    <col min="6407" max="6407" width="23.81640625" style="2821" customWidth="1"/>
    <col min="6408" max="6408" width="2.08984375" style="2821" customWidth="1"/>
    <col min="6409" max="6409" width="23.81640625" style="2821" customWidth="1"/>
    <col min="6410" max="6410" width="2.08984375" style="2821" customWidth="1"/>
    <col min="6411" max="6411" width="23.81640625" style="2821" customWidth="1"/>
    <col min="6412" max="6412" width="2.08984375" style="2821" customWidth="1"/>
    <col min="6413" max="6413" width="23.81640625" style="2821" customWidth="1"/>
    <col min="6414" max="6414" width="2.08984375" style="2821" customWidth="1"/>
    <col min="6415" max="6415" width="23.81640625" style="2821" customWidth="1"/>
    <col min="6416" max="6416" width="2.81640625" style="2821" bestFit="1" customWidth="1"/>
    <col min="6417" max="6655" width="8.81640625" style="2821"/>
    <col min="6656" max="6657" width="8.81640625" style="2821" customWidth="1"/>
    <col min="6658" max="6658" width="10.08984375" style="2821" customWidth="1"/>
    <col min="6659" max="6659" width="2.08984375" style="2821" customWidth="1"/>
    <col min="6660" max="6660" width="50.453125" style="2821" customWidth="1"/>
    <col min="6661" max="6661" width="8.81640625" style="2821"/>
    <col min="6662" max="6662" width="2.08984375" style="2821" customWidth="1"/>
    <col min="6663" max="6663" width="23.81640625" style="2821" customWidth="1"/>
    <col min="6664" max="6664" width="2.08984375" style="2821" customWidth="1"/>
    <col min="6665" max="6665" width="23.81640625" style="2821" customWidth="1"/>
    <col min="6666" max="6666" width="2.08984375" style="2821" customWidth="1"/>
    <col min="6667" max="6667" width="23.81640625" style="2821" customWidth="1"/>
    <col min="6668" max="6668" width="2.08984375" style="2821" customWidth="1"/>
    <col min="6669" max="6669" width="23.81640625" style="2821" customWidth="1"/>
    <col min="6670" max="6670" width="2.08984375" style="2821" customWidth="1"/>
    <col min="6671" max="6671" width="23.81640625" style="2821" customWidth="1"/>
    <col min="6672" max="6672" width="2.81640625" style="2821" bestFit="1" customWidth="1"/>
    <col min="6673" max="6911" width="8.81640625" style="2821"/>
    <col min="6912" max="6913" width="8.81640625" style="2821" customWidth="1"/>
    <col min="6914" max="6914" width="10.08984375" style="2821" customWidth="1"/>
    <col min="6915" max="6915" width="2.08984375" style="2821" customWidth="1"/>
    <col min="6916" max="6916" width="50.453125" style="2821" customWidth="1"/>
    <col min="6917" max="6917" width="8.81640625" style="2821"/>
    <col min="6918" max="6918" width="2.08984375" style="2821" customWidth="1"/>
    <col min="6919" max="6919" width="23.81640625" style="2821" customWidth="1"/>
    <col min="6920" max="6920" width="2.08984375" style="2821" customWidth="1"/>
    <col min="6921" max="6921" width="23.81640625" style="2821" customWidth="1"/>
    <col min="6922" max="6922" width="2.08984375" style="2821" customWidth="1"/>
    <col min="6923" max="6923" width="23.81640625" style="2821" customWidth="1"/>
    <col min="6924" max="6924" width="2.08984375" style="2821" customWidth="1"/>
    <col min="6925" max="6925" width="23.81640625" style="2821" customWidth="1"/>
    <col min="6926" max="6926" width="2.08984375" style="2821" customWidth="1"/>
    <col min="6927" max="6927" width="23.81640625" style="2821" customWidth="1"/>
    <col min="6928" max="6928" width="2.81640625" style="2821" bestFit="1" customWidth="1"/>
    <col min="6929" max="7167" width="8.81640625" style="2821"/>
    <col min="7168" max="7169" width="8.81640625" style="2821" customWidth="1"/>
    <col min="7170" max="7170" width="10.08984375" style="2821" customWidth="1"/>
    <col min="7171" max="7171" width="2.08984375" style="2821" customWidth="1"/>
    <col min="7172" max="7172" width="50.453125" style="2821" customWidth="1"/>
    <col min="7173" max="7173" width="8.81640625" style="2821"/>
    <col min="7174" max="7174" width="2.08984375" style="2821" customWidth="1"/>
    <col min="7175" max="7175" width="23.81640625" style="2821" customWidth="1"/>
    <col min="7176" max="7176" width="2.08984375" style="2821" customWidth="1"/>
    <col min="7177" max="7177" width="23.81640625" style="2821" customWidth="1"/>
    <col min="7178" max="7178" width="2.08984375" style="2821" customWidth="1"/>
    <col min="7179" max="7179" width="23.81640625" style="2821" customWidth="1"/>
    <col min="7180" max="7180" width="2.08984375" style="2821" customWidth="1"/>
    <col min="7181" max="7181" width="23.81640625" style="2821" customWidth="1"/>
    <col min="7182" max="7182" width="2.08984375" style="2821" customWidth="1"/>
    <col min="7183" max="7183" width="23.81640625" style="2821" customWidth="1"/>
    <col min="7184" max="7184" width="2.81640625" style="2821" bestFit="1" customWidth="1"/>
    <col min="7185" max="7423" width="8.81640625" style="2821"/>
    <col min="7424" max="7425" width="8.81640625" style="2821" customWidth="1"/>
    <col min="7426" max="7426" width="10.08984375" style="2821" customWidth="1"/>
    <col min="7427" max="7427" width="2.08984375" style="2821" customWidth="1"/>
    <col min="7428" max="7428" width="50.453125" style="2821" customWidth="1"/>
    <col min="7429" max="7429" width="8.81640625" style="2821"/>
    <col min="7430" max="7430" width="2.08984375" style="2821" customWidth="1"/>
    <col min="7431" max="7431" width="23.81640625" style="2821" customWidth="1"/>
    <col min="7432" max="7432" width="2.08984375" style="2821" customWidth="1"/>
    <col min="7433" max="7433" width="23.81640625" style="2821" customWidth="1"/>
    <col min="7434" max="7434" width="2.08984375" style="2821" customWidth="1"/>
    <col min="7435" max="7435" width="23.81640625" style="2821" customWidth="1"/>
    <col min="7436" max="7436" width="2.08984375" style="2821" customWidth="1"/>
    <col min="7437" max="7437" width="23.81640625" style="2821" customWidth="1"/>
    <col min="7438" max="7438" width="2.08984375" style="2821" customWidth="1"/>
    <col min="7439" max="7439" width="23.81640625" style="2821" customWidth="1"/>
    <col min="7440" max="7440" width="2.81640625" style="2821" bestFit="1" customWidth="1"/>
    <col min="7441" max="7679" width="8.81640625" style="2821"/>
    <col min="7680" max="7681" width="8.81640625" style="2821" customWidth="1"/>
    <col min="7682" max="7682" width="10.08984375" style="2821" customWidth="1"/>
    <col min="7683" max="7683" width="2.08984375" style="2821" customWidth="1"/>
    <col min="7684" max="7684" width="50.453125" style="2821" customWidth="1"/>
    <col min="7685" max="7685" width="8.81640625" style="2821"/>
    <col min="7686" max="7686" width="2.08984375" style="2821" customWidth="1"/>
    <col min="7687" max="7687" width="23.81640625" style="2821" customWidth="1"/>
    <col min="7688" max="7688" width="2.08984375" style="2821" customWidth="1"/>
    <col min="7689" max="7689" width="23.81640625" style="2821" customWidth="1"/>
    <col min="7690" max="7690" width="2.08984375" style="2821" customWidth="1"/>
    <col min="7691" max="7691" width="23.81640625" style="2821" customWidth="1"/>
    <col min="7692" max="7692" width="2.08984375" style="2821" customWidth="1"/>
    <col min="7693" max="7693" width="23.81640625" style="2821" customWidth="1"/>
    <col min="7694" max="7694" width="2.08984375" style="2821" customWidth="1"/>
    <col min="7695" max="7695" width="23.81640625" style="2821" customWidth="1"/>
    <col min="7696" max="7696" width="2.81640625" style="2821" bestFit="1" customWidth="1"/>
    <col min="7697" max="7935" width="8.81640625" style="2821"/>
    <col min="7936" max="7937" width="8.81640625" style="2821" customWidth="1"/>
    <col min="7938" max="7938" width="10.08984375" style="2821" customWidth="1"/>
    <col min="7939" max="7939" width="2.08984375" style="2821" customWidth="1"/>
    <col min="7940" max="7940" width="50.453125" style="2821" customWidth="1"/>
    <col min="7941" max="7941" width="8.81640625" style="2821"/>
    <col min="7942" max="7942" width="2.08984375" style="2821" customWidth="1"/>
    <col min="7943" max="7943" width="23.81640625" style="2821" customWidth="1"/>
    <col min="7944" max="7944" width="2.08984375" style="2821" customWidth="1"/>
    <col min="7945" max="7945" width="23.81640625" style="2821" customWidth="1"/>
    <col min="7946" max="7946" width="2.08984375" style="2821" customWidth="1"/>
    <col min="7947" max="7947" width="23.81640625" style="2821" customWidth="1"/>
    <col min="7948" max="7948" width="2.08984375" style="2821" customWidth="1"/>
    <col min="7949" max="7949" width="23.81640625" style="2821" customWidth="1"/>
    <col min="7950" max="7950" width="2.08984375" style="2821" customWidth="1"/>
    <col min="7951" max="7951" width="23.81640625" style="2821" customWidth="1"/>
    <col min="7952" max="7952" width="2.81640625" style="2821" bestFit="1" customWidth="1"/>
    <col min="7953" max="8191" width="8.81640625" style="2821"/>
    <col min="8192" max="8193" width="8.81640625" style="2821" customWidth="1"/>
    <col min="8194" max="8194" width="10.08984375" style="2821" customWidth="1"/>
    <col min="8195" max="8195" width="2.08984375" style="2821" customWidth="1"/>
    <col min="8196" max="8196" width="50.453125" style="2821" customWidth="1"/>
    <col min="8197" max="8197" width="8.81640625" style="2821"/>
    <col min="8198" max="8198" width="2.08984375" style="2821" customWidth="1"/>
    <col min="8199" max="8199" width="23.81640625" style="2821" customWidth="1"/>
    <col min="8200" max="8200" width="2.08984375" style="2821" customWidth="1"/>
    <col min="8201" max="8201" width="23.81640625" style="2821" customWidth="1"/>
    <col min="8202" max="8202" width="2.08984375" style="2821" customWidth="1"/>
    <col min="8203" max="8203" width="23.81640625" style="2821" customWidth="1"/>
    <col min="8204" max="8204" width="2.08984375" style="2821" customWidth="1"/>
    <col min="8205" max="8205" width="23.81640625" style="2821" customWidth="1"/>
    <col min="8206" max="8206" width="2.08984375" style="2821" customWidth="1"/>
    <col min="8207" max="8207" width="23.81640625" style="2821" customWidth="1"/>
    <col min="8208" max="8208" width="2.81640625" style="2821" bestFit="1" customWidth="1"/>
    <col min="8209" max="8447" width="8.81640625" style="2821"/>
    <col min="8448" max="8449" width="8.81640625" style="2821" customWidth="1"/>
    <col min="8450" max="8450" width="10.08984375" style="2821" customWidth="1"/>
    <col min="8451" max="8451" width="2.08984375" style="2821" customWidth="1"/>
    <col min="8452" max="8452" width="50.453125" style="2821" customWidth="1"/>
    <col min="8453" max="8453" width="8.81640625" style="2821"/>
    <col min="8454" max="8454" width="2.08984375" style="2821" customWidth="1"/>
    <col min="8455" max="8455" width="23.81640625" style="2821" customWidth="1"/>
    <col min="8456" max="8456" width="2.08984375" style="2821" customWidth="1"/>
    <col min="8457" max="8457" width="23.81640625" style="2821" customWidth="1"/>
    <col min="8458" max="8458" width="2.08984375" style="2821" customWidth="1"/>
    <col min="8459" max="8459" width="23.81640625" style="2821" customWidth="1"/>
    <col min="8460" max="8460" width="2.08984375" style="2821" customWidth="1"/>
    <col min="8461" max="8461" width="23.81640625" style="2821" customWidth="1"/>
    <col min="8462" max="8462" width="2.08984375" style="2821" customWidth="1"/>
    <col min="8463" max="8463" width="23.81640625" style="2821" customWidth="1"/>
    <col min="8464" max="8464" width="2.81640625" style="2821" bestFit="1" customWidth="1"/>
    <col min="8465" max="8703" width="8.81640625" style="2821"/>
    <col min="8704" max="8705" width="8.81640625" style="2821" customWidth="1"/>
    <col min="8706" max="8706" width="10.08984375" style="2821" customWidth="1"/>
    <col min="8707" max="8707" width="2.08984375" style="2821" customWidth="1"/>
    <col min="8708" max="8708" width="50.453125" style="2821" customWidth="1"/>
    <col min="8709" max="8709" width="8.81640625" style="2821"/>
    <col min="8710" max="8710" width="2.08984375" style="2821" customWidth="1"/>
    <col min="8711" max="8711" width="23.81640625" style="2821" customWidth="1"/>
    <col min="8712" max="8712" width="2.08984375" style="2821" customWidth="1"/>
    <col min="8713" max="8713" width="23.81640625" style="2821" customWidth="1"/>
    <col min="8714" max="8714" width="2.08984375" style="2821" customWidth="1"/>
    <col min="8715" max="8715" width="23.81640625" style="2821" customWidth="1"/>
    <col min="8716" max="8716" width="2.08984375" style="2821" customWidth="1"/>
    <col min="8717" max="8717" width="23.81640625" style="2821" customWidth="1"/>
    <col min="8718" max="8718" width="2.08984375" style="2821" customWidth="1"/>
    <col min="8719" max="8719" width="23.81640625" style="2821" customWidth="1"/>
    <col min="8720" max="8720" width="2.81640625" style="2821" bestFit="1" customWidth="1"/>
    <col min="8721" max="8959" width="8.81640625" style="2821"/>
    <col min="8960" max="8961" width="8.81640625" style="2821" customWidth="1"/>
    <col min="8962" max="8962" width="10.08984375" style="2821" customWidth="1"/>
    <col min="8963" max="8963" width="2.08984375" style="2821" customWidth="1"/>
    <col min="8964" max="8964" width="50.453125" style="2821" customWidth="1"/>
    <col min="8965" max="8965" width="8.81640625" style="2821"/>
    <col min="8966" max="8966" width="2.08984375" style="2821" customWidth="1"/>
    <col min="8967" max="8967" width="23.81640625" style="2821" customWidth="1"/>
    <col min="8968" max="8968" width="2.08984375" style="2821" customWidth="1"/>
    <col min="8969" max="8969" width="23.81640625" style="2821" customWidth="1"/>
    <col min="8970" max="8970" width="2.08984375" style="2821" customWidth="1"/>
    <col min="8971" max="8971" width="23.81640625" style="2821" customWidth="1"/>
    <col min="8972" max="8972" width="2.08984375" style="2821" customWidth="1"/>
    <col min="8973" max="8973" width="23.81640625" style="2821" customWidth="1"/>
    <col min="8974" max="8974" width="2.08984375" style="2821" customWidth="1"/>
    <col min="8975" max="8975" width="23.81640625" style="2821" customWidth="1"/>
    <col min="8976" max="8976" width="2.81640625" style="2821" bestFit="1" customWidth="1"/>
    <col min="8977" max="9215" width="8.81640625" style="2821"/>
    <col min="9216" max="9217" width="8.81640625" style="2821" customWidth="1"/>
    <col min="9218" max="9218" width="10.08984375" style="2821" customWidth="1"/>
    <col min="9219" max="9219" width="2.08984375" style="2821" customWidth="1"/>
    <col min="9220" max="9220" width="50.453125" style="2821" customWidth="1"/>
    <col min="9221" max="9221" width="8.81640625" style="2821"/>
    <col min="9222" max="9222" width="2.08984375" style="2821" customWidth="1"/>
    <col min="9223" max="9223" width="23.81640625" style="2821" customWidth="1"/>
    <col min="9224" max="9224" width="2.08984375" style="2821" customWidth="1"/>
    <col min="9225" max="9225" width="23.81640625" style="2821" customWidth="1"/>
    <col min="9226" max="9226" width="2.08984375" style="2821" customWidth="1"/>
    <col min="9227" max="9227" width="23.81640625" style="2821" customWidth="1"/>
    <col min="9228" max="9228" width="2.08984375" style="2821" customWidth="1"/>
    <col min="9229" max="9229" width="23.81640625" style="2821" customWidth="1"/>
    <col min="9230" max="9230" width="2.08984375" style="2821" customWidth="1"/>
    <col min="9231" max="9231" width="23.81640625" style="2821" customWidth="1"/>
    <col min="9232" max="9232" width="2.81640625" style="2821" bestFit="1" customWidth="1"/>
    <col min="9233" max="9471" width="8.81640625" style="2821"/>
    <col min="9472" max="9473" width="8.81640625" style="2821" customWidth="1"/>
    <col min="9474" max="9474" width="10.08984375" style="2821" customWidth="1"/>
    <col min="9475" max="9475" width="2.08984375" style="2821" customWidth="1"/>
    <col min="9476" max="9476" width="50.453125" style="2821" customWidth="1"/>
    <col min="9477" max="9477" width="8.81640625" style="2821"/>
    <col min="9478" max="9478" width="2.08984375" style="2821" customWidth="1"/>
    <col min="9479" max="9479" width="23.81640625" style="2821" customWidth="1"/>
    <col min="9480" max="9480" width="2.08984375" style="2821" customWidth="1"/>
    <col min="9481" max="9481" width="23.81640625" style="2821" customWidth="1"/>
    <col min="9482" max="9482" width="2.08984375" style="2821" customWidth="1"/>
    <col min="9483" max="9483" width="23.81640625" style="2821" customWidth="1"/>
    <col min="9484" max="9484" width="2.08984375" style="2821" customWidth="1"/>
    <col min="9485" max="9485" width="23.81640625" style="2821" customWidth="1"/>
    <col min="9486" max="9486" width="2.08984375" style="2821" customWidth="1"/>
    <col min="9487" max="9487" width="23.81640625" style="2821" customWidth="1"/>
    <col min="9488" max="9488" width="2.81640625" style="2821" bestFit="1" customWidth="1"/>
    <col min="9489" max="9727" width="8.81640625" style="2821"/>
    <col min="9728" max="9729" width="8.81640625" style="2821" customWidth="1"/>
    <col min="9730" max="9730" width="10.08984375" style="2821" customWidth="1"/>
    <col min="9731" max="9731" width="2.08984375" style="2821" customWidth="1"/>
    <col min="9732" max="9732" width="50.453125" style="2821" customWidth="1"/>
    <col min="9733" max="9733" width="8.81640625" style="2821"/>
    <col min="9734" max="9734" width="2.08984375" style="2821" customWidth="1"/>
    <col min="9735" max="9735" width="23.81640625" style="2821" customWidth="1"/>
    <col min="9736" max="9736" width="2.08984375" style="2821" customWidth="1"/>
    <col min="9737" max="9737" width="23.81640625" style="2821" customWidth="1"/>
    <col min="9738" max="9738" width="2.08984375" style="2821" customWidth="1"/>
    <col min="9739" max="9739" width="23.81640625" style="2821" customWidth="1"/>
    <col min="9740" max="9740" width="2.08984375" style="2821" customWidth="1"/>
    <col min="9741" max="9741" width="23.81640625" style="2821" customWidth="1"/>
    <col min="9742" max="9742" width="2.08984375" style="2821" customWidth="1"/>
    <col min="9743" max="9743" width="23.81640625" style="2821" customWidth="1"/>
    <col min="9744" max="9744" width="2.81640625" style="2821" bestFit="1" customWidth="1"/>
    <col min="9745" max="9983" width="8.81640625" style="2821"/>
    <col min="9984" max="9985" width="8.81640625" style="2821" customWidth="1"/>
    <col min="9986" max="9986" width="10.08984375" style="2821" customWidth="1"/>
    <col min="9987" max="9987" width="2.08984375" style="2821" customWidth="1"/>
    <col min="9988" max="9988" width="50.453125" style="2821" customWidth="1"/>
    <col min="9989" max="9989" width="8.81640625" style="2821"/>
    <col min="9990" max="9990" width="2.08984375" style="2821" customWidth="1"/>
    <col min="9991" max="9991" width="23.81640625" style="2821" customWidth="1"/>
    <col min="9992" max="9992" width="2.08984375" style="2821" customWidth="1"/>
    <col min="9993" max="9993" width="23.81640625" style="2821" customWidth="1"/>
    <col min="9994" max="9994" width="2.08984375" style="2821" customWidth="1"/>
    <col min="9995" max="9995" width="23.81640625" style="2821" customWidth="1"/>
    <col min="9996" max="9996" width="2.08984375" style="2821" customWidth="1"/>
    <col min="9997" max="9997" width="23.81640625" style="2821" customWidth="1"/>
    <col min="9998" max="9998" width="2.08984375" style="2821" customWidth="1"/>
    <col min="9999" max="9999" width="23.81640625" style="2821" customWidth="1"/>
    <col min="10000" max="10000" width="2.81640625" style="2821" bestFit="1" customWidth="1"/>
    <col min="10001" max="10239" width="8.81640625" style="2821"/>
    <col min="10240" max="10241" width="8.81640625" style="2821" customWidth="1"/>
    <col min="10242" max="10242" width="10.08984375" style="2821" customWidth="1"/>
    <col min="10243" max="10243" width="2.08984375" style="2821" customWidth="1"/>
    <col min="10244" max="10244" width="50.453125" style="2821" customWidth="1"/>
    <col min="10245" max="10245" width="8.81640625" style="2821"/>
    <col min="10246" max="10246" width="2.08984375" style="2821" customWidth="1"/>
    <col min="10247" max="10247" width="23.81640625" style="2821" customWidth="1"/>
    <col min="10248" max="10248" width="2.08984375" style="2821" customWidth="1"/>
    <col min="10249" max="10249" width="23.81640625" style="2821" customWidth="1"/>
    <col min="10250" max="10250" width="2.08984375" style="2821" customWidth="1"/>
    <col min="10251" max="10251" width="23.81640625" style="2821" customWidth="1"/>
    <col min="10252" max="10252" width="2.08984375" style="2821" customWidth="1"/>
    <col min="10253" max="10253" width="23.81640625" style="2821" customWidth="1"/>
    <col min="10254" max="10254" width="2.08984375" style="2821" customWidth="1"/>
    <col min="10255" max="10255" width="23.81640625" style="2821" customWidth="1"/>
    <col min="10256" max="10256" width="2.81640625" style="2821" bestFit="1" customWidth="1"/>
    <col min="10257" max="10495" width="8.81640625" style="2821"/>
    <col min="10496" max="10497" width="8.81640625" style="2821" customWidth="1"/>
    <col min="10498" max="10498" width="10.08984375" style="2821" customWidth="1"/>
    <col min="10499" max="10499" width="2.08984375" style="2821" customWidth="1"/>
    <col min="10500" max="10500" width="50.453125" style="2821" customWidth="1"/>
    <col min="10501" max="10501" width="8.81640625" style="2821"/>
    <col min="10502" max="10502" width="2.08984375" style="2821" customWidth="1"/>
    <col min="10503" max="10503" width="23.81640625" style="2821" customWidth="1"/>
    <col min="10504" max="10504" width="2.08984375" style="2821" customWidth="1"/>
    <col min="10505" max="10505" width="23.81640625" style="2821" customWidth="1"/>
    <col min="10506" max="10506" width="2.08984375" style="2821" customWidth="1"/>
    <col min="10507" max="10507" width="23.81640625" style="2821" customWidth="1"/>
    <col min="10508" max="10508" width="2.08984375" style="2821" customWidth="1"/>
    <col min="10509" max="10509" width="23.81640625" style="2821" customWidth="1"/>
    <col min="10510" max="10510" width="2.08984375" style="2821" customWidth="1"/>
    <col min="10511" max="10511" width="23.81640625" style="2821" customWidth="1"/>
    <col min="10512" max="10512" width="2.81640625" style="2821" bestFit="1" customWidth="1"/>
    <col min="10513" max="10751" width="8.81640625" style="2821"/>
    <col min="10752" max="10753" width="8.81640625" style="2821" customWidth="1"/>
    <col min="10754" max="10754" width="10.08984375" style="2821" customWidth="1"/>
    <col min="10755" max="10755" width="2.08984375" style="2821" customWidth="1"/>
    <col min="10756" max="10756" width="50.453125" style="2821" customWidth="1"/>
    <col min="10757" max="10757" width="8.81640625" style="2821"/>
    <col min="10758" max="10758" width="2.08984375" style="2821" customWidth="1"/>
    <col min="10759" max="10759" width="23.81640625" style="2821" customWidth="1"/>
    <col min="10760" max="10760" width="2.08984375" style="2821" customWidth="1"/>
    <col min="10761" max="10761" width="23.81640625" style="2821" customWidth="1"/>
    <col min="10762" max="10762" width="2.08984375" style="2821" customWidth="1"/>
    <col min="10763" max="10763" width="23.81640625" style="2821" customWidth="1"/>
    <col min="10764" max="10764" width="2.08984375" style="2821" customWidth="1"/>
    <col min="10765" max="10765" width="23.81640625" style="2821" customWidth="1"/>
    <col min="10766" max="10766" width="2.08984375" style="2821" customWidth="1"/>
    <col min="10767" max="10767" width="23.81640625" style="2821" customWidth="1"/>
    <col min="10768" max="10768" width="2.81640625" style="2821" bestFit="1" customWidth="1"/>
    <col min="10769" max="11007" width="8.81640625" style="2821"/>
    <col min="11008" max="11009" width="8.81640625" style="2821" customWidth="1"/>
    <col min="11010" max="11010" width="10.08984375" style="2821" customWidth="1"/>
    <col min="11011" max="11011" width="2.08984375" style="2821" customWidth="1"/>
    <col min="11012" max="11012" width="50.453125" style="2821" customWidth="1"/>
    <col min="11013" max="11013" width="8.81640625" style="2821"/>
    <col min="11014" max="11014" width="2.08984375" style="2821" customWidth="1"/>
    <col min="11015" max="11015" width="23.81640625" style="2821" customWidth="1"/>
    <col min="11016" max="11016" width="2.08984375" style="2821" customWidth="1"/>
    <col min="11017" max="11017" width="23.81640625" style="2821" customWidth="1"/>
    <col min="11018" max="11018" width="2.08984375" style="2821" customWidth="1"/>
    <col min="11019" max="11019" width="23.81640625" style="2821" customWidth="1"/>
    <col min="11020" max="11020" width="2.08984375" style="2821" customWidth="1"/>
    <col min="11021" max="11021" width="23.81640625" style="2821" customWidth="1"/>
    <col min="11022" max="11022" width="2.08984375" style="2821" customWidth="1"/>
    <col min="11023" max="11023" width="23.81640625" style="2821" customWidth="1"/>
    <col min="11024" max="11024" width="2.81640625" style="2821" bestFit="1" customWidth="1"/>
    <col min="11025" max="11263" width="8.81640625" style="2821"/>
    <col min="11264" max="11265" width="8.81640625" style="2821" customWidth="1"/>
    <col min="11266" max="11266" width="10.08984375" style="2821" customWidth="1"/>
    <col min="11267" max="11267" width="2.08984375" style="2821" customWidth="1"/>
    <col min="11268" max="11268" width="50.453125" style="2821" customWidth="1"/>
    <col min="11269" max="11269" width="8.81640625" style="2821"/>
    <col min="11270" max="11270" width="2.08984375" style="2821" customWidth="1"/>
    <col min="11271" max="11271" width="23.81640625" style="2821" customWidth="1"/>
    <col min="11272" max="11272" width="2.08984375" style="2821" customWidth="1"/>
    <col min="11273" max="11273" width="23.81640625" style="2821" customWidth="1"/>
    <col min="11274" max="11274" width="2.08984375" style="2821" customWidth="1"/>
    <col min="11275" max="11275" width="23.81640625" style="2821" customWidth="1"/>
    <col min="11276" max="11276" width="2.08984375" style="2821" customWidth="1"/>
    <col min="11277" max="11277" width="23.81640625" style="2821" customWidth="1"/>
    <col min="11278" max="11278" width="2.08984375" style="2821" customWidth="1"/>
    <col min="11279" max="11279" width="23.81640625" style="2821" customWidth="1"/>
    <col min="11280" max="11280" width="2.81640625" style="2821" bestFit="1" customWidth="1"/>
    <col min="11281" max="11519" width="8.81640625" style="2821"/>
    <col min="11520" max="11521" width="8.81640625" style="2821" customWidth="1"/>
    <col min="11522" max="11522" width="10.08984375" style="2821" customWidth="1"/>
    <col min="11523" max="11523" width="2.08984375" style="2821" customWidth="1"/>
    <col min="11524" max="11524" width="50.453125" style="2821" customWidth="1"/>
    <col min="11525" max="11525" width="8.81640625" style="2821"/>
    <col min="11526" max="11526" width="2.08984375" style="2821" customWidth="1"/>
    <col min="11527" max="11527" width="23.81640625" style="2821" customWidth="1"/>
    <col min="11528" max="11528" width="2.08984375" style="2821" customWidth="1"/>
    <col min="11529" max="11529" width="23.81640625" style="2821" customWidth="1"/>
    <col min="11530" max="11530" width="2.08984375" style="2821" customWidth="1"/>
    <col min="11531" max="11531" width="23.81640625" style="2821" customWidth="1"/>
    <col min="11532" max="11532" width="2.08984375" style="2821" customWidth="1"/>
    <col min="11533" max="11533" width="23.81640625" style="2821" customWidth="1"/>
    <col min="11534" max="11534" width="2.08984375" style="2821" customWidth="1"/>
    <col min="11535" max="11535" width="23.81640625" style="2821" customWidth="1"/>
    <col min="11536" max="11536" width="2.81640625" style="2821" bestFit="1" customWidth="1"/>
    <col min="11537" max="11775" width="8.81640625" style="2821"/>
    <col min="11776" max="11777" width="8.81640625" style="2821" customWidth="1"/>
    <col min="11778" max="11778" width="10.08984375" style="2821" customWidth="1"/>
    <col min="11779" max="11779" width="2.08984375" style="2821" customWidth="1"/>
    <col min="11780" max="11780" width="50.453125" style="2821" customWidth="1"/>
    <col min="11781" max="11781" width="8.81640625" style="2821"/>
    <col min="11782" max="11782" width="2.08984375" style="2821" customWidth="1"/>
    <col min="11783" max="11783" width="23.81640625" style="2821" customWidth="1"/>
    <col min="11784" max="11784" width="2.08984375" style="2821" customWidth="1"/>
    <col min="11785" max="11785" width="23.81640625" style="2821" customWidth="1"/>
    <col min="11786" max="11786" width="2.08984375" style="2821" customWidth="1"/>
    <col min="11787" max="11787" width="23.81640625" style="2821" customWidth="1"/>
    <col min="11788" max="11788" width="2.08984375" style="2821" customWidth="1"/>
    <col min="11789" max="11789" width="23.81640625" style="2821" customWidth="1"/>
    <col min="11790" max="11790" width="2.08984375" style="2821" customWidth="1"/>
    <col min="11791" max="11791" width="23.81640625" style="2821" customWidth="1"/>
    <col min="11792" max="11792" width="2.81640625" style="2821" bestFit="1" customWidth="1"/>
    <col min="11793" max="12031" width="8.81640625" style="2821"/>
    <col min="12032" max="12033" width="8.81640625" style="2821" customWidth="1"/>
    <col min="12034" max="12034" width="10.08984375" style="2821" customWidth="1"/>
    <col min="12035" max="12035" width="2.08984375" style="2821" customWidth="1"/>
    <col min="12036" max="12036" width="50.453125" style="2821" customWidth="1"/>
    <col min="12037" max="12037" width="8.81640625" style="2821"/>
    <col min="12038" max="12038" width="2.08984375" style="2821" customWidth="1"/>
    <col min="12039" max="12039" width="23.81640625" style="2821" customWidth="1"/>
    <col min="12040" max="12040" width="2.08984375" style="2821" customWidth="1"/>
    <col min="12041" max="12041" width="23.81640625" style="2821" customWidth="1"/>
    <col min="12042" max="12042" width="2.08984375" style="2821" customWidth="1"/>
    <col min="12043" max="12043" width="23.81640625" style="2821" customWidth="1"/>
    <col min="12044" max="12044" width="2.08984375" style="2821" customWidth="1"/>
    <col min="12045" max="12045" width="23.81640625" style="2821" customWidth="1"/>
    <col min="12046" max="12046" width="2.08984375" style="2821" customWidth="1"/>
    <col min="12047" max="12047" width="23.81640625" style="2821" customWidth="1"/>
    <col min="12048" max="12048" width="2.81640625" style="2821" bestFit="1" customWidth="1"/>
    <col min="12049" max="12287" width="8.81640625" style="2821"/>
    <col min="12288" max="12289" width="8.81640625" style="2821" customWidth="1"/>
    <col min="12290" max="12290" width="10.08984375" style="2821" customWidth="1"/>
    <col min="12291" max="12291" width="2.08984375" style="2821" customWidth="1"/>
    <col min="12292" max="12292" width="50.453125" style="2821" customWidth="1"/>
    <col min="12293" max="12293" width="8.81640625" style="2821"/>
    <col min="12294" max="12294" width="2.08984375" style="2821" customWidth="1"/>
    <col min="12295" max="12295" width="23.81640625" style="2821" customWidth="1"/>
    <col min="12296" max="12296" width="2.08984375" style="2821" customWidth="1"/>
    <col min="12297" max="12297" width="23.81640625" style="2821" customWidth="1"/>
    <col min="12298" max="12298" width="2.08984375" style="2821" customWidth="1"/>
    <col min="12299" max="12299" width="23.81640625" style="2821" customWidth="1"/>
    <col min="12300" max="12300" width="2.08984375" style="2821" customWidth="1"/>
    <col min="12301" max="12301" width="23.81640625" style="2821" customWidth="1"/>
    <col min="12302" max="12302" width="2.08984375" style="2821" customWidth="1"/>
    <col min="12303" max="12303" width="23.81640625" style="2821" customWidth="1"/>
    <col min="12304" max="12304" width="2.81640625" style="2821" bestFit="1" customWidth="1"/>
    <col min="12305" max="12543" width="8.81640625" style="2821"/>
    <col min="12544" max="12545" width="8.81640625" style="2821" customWidth="1"/>
    <col min="12546" max="12546" width="10.08984375" style="2821" customWidth="1"/>
    <col min="12547" max="12547" width="2.08984375" style="2821" customWidth="1"/>
    <col min="12548" max="12548" width="50.453125" style="2821" customWidth="1"/>
    <col min="12549" max="12549" width="8.81640625" style="2821"/>
    <col min="12550" max="12550" width="2.08984375" style="2821" customWidth="1"/>
    <col min="12551" max="12551" width="23.81640625" style="2821" customWidth="1"/>
    <col min="12552" max="12552" width="2.08984375" style="2821" customWidth="1"/>
    <col min="12553" max="12553" width="23.81640625" style="2821" customWidth="1"/>
    <col min="12554" max="12554" width="2.08984375" style="2821" customWidth="1"/>
    <col min="12555" max="12555" width="23.81640625" style="2821" customWidth="1"/>
    <col min="12556" max="12556" width="2.08984375" style="2821" customWidth="1"/>
    <col min="12557" max="12557" width="23.81640625" style="2821" customWidth="1"/>
    <col min="12558" max="12558" width="2.08984375" style="2821" customWidth="1"/>
    <col min="12559" max="12559" width="23.81640625" style="2821" customWidth="1"/>
    <col min="12560" max="12560" width="2.81640625" style="2821" bestFit="1" customWidth="1"/>
    <col min="12561" max="12799" width="8.81640625" style="2821"/>
    <col min="12800" max="12801" width="8.81640625" style="2821" customWidth="1"/>
    <col min="12802" max="12802" width="10.08984375" style="2821" customWidth="1"/>
    <col min="12803" max="12803" width="2.08984375" style="2821" customWidth="1"/>
    <col min="12804" max="12804" width="50.453125" style="2821" customWidth="1"/>
    <col min="12805" max="12805" width="8.81640625" style="2821"/>
    <col min="12806" max="12806" width="2.08984375" style="2821" customWidth="1"/>
    <col min="12807" max="12807" width="23.81640625" style="2821" customWidth="1"/>
    <col min="12808" max="12808" width="2.08984375" style="2821" customWidth="1"/>
    <col min="12809" max="12809" width="23.81640625" style="2821" customWidth="1"/>
    <col min="12810" max="12810" width="2.08984375" style="2821" customWidth="1"/>
    <col min="12811" max="12811" width="23.81640625" style="2821" customWidth="1"/>
    <col min="12812" max="12812" width="2.08984375" style="2821" customWidth="1"/>
    <col min="12813" max="12813" width="23.81640625" style="2821" customWidth="1"/>
    <col min="12814" max="12814" width="2.08984375" style="2821" customWidth="1"/>
    <col min="12815" max="12815" width="23.81640625" style="2821" customWidth="1"/>
    <col min="12816" max="12816" width="2.81640625" style="2821" bestFit="1" customWidth="1"/>
    <col min="12817" max="13055" width="8.81640625" style="2821"/>
    <col min="13056" max="13057" width="8.81640625" style="2821" customWidth="1"/>
    <col min="13058" max="13058" width="10.08984375" style="2821" customWidth="1"/>
    <col min="13059" max="13059" width="2.08984375" style="2821" customWidth="1"/>
    <col min="13060" max="13060" width="50.453125" style="2821" customWidth="1"/>
    <col min="13061" max="13061" width="8.81640625" style="2821"/>
    <col min="13062" max="13062" width="2.08984375" style="2821" customWidth="1"/>
    <col min="13063" max="13063" width="23.81640625" style="2821" customWidth="1"/>
    <col min="13064" max="13064" width="2.08984375" style="2821" customWidth="1"/>
    <col min="13065" max="13065" width="23.81640625" style="2821" customWidth="1"/>
    <col min="13066" max="13066" width="2.08984375" style="2821" customWidth="1"/>
    <col min="13067" max="13067" width="23.81640625" style="2821" customWidth="1"/>
    <col min="13068" max="13068" width="2.08984375" style="2821" customWidth="1"/>
    <col min="13069" max="13069" width="23.81640625" style="2821" customWidth="1"/>
    <col min="13070" max="13070" width="2.08984375" style="2821" customWidth="1"/>
    <col min="13071" max="13071" width="23.81640625" style="2821" customWidth="1"/>
    <col min="13072" max="13072" width="2.81640625" style="2821" bestFit="1" customWidth="1"/>
    <col min="13073" max="13311" width="8.81640625" style="2821"/>
    <col min="13312" max="13313" width="8.81640625" style="2821" customWidth="1"/>
    <col min="13314" max="13314" width="10.08984375" style="2821" customWidth="1"/>
    <col min="13315" max="13315" width="2.08984375" style="2821" customWidth="1"/>
    <col min="13316" max="13316" width="50.453125" style="2821" customWidth="1"/>
    <col min="13317" max="13317" width="8.81640625" style="2821"/>
    <col min="13318" max="13318" width="2.08984375" style="2821" customWidth="1"/>
    <col min="13319" max="13319" width="23.81640625" style="2821" customWidth="1"/>
    <col min="13320" max="13320" width="2.08984375" style="2821" customWidth="1"/>
    <col min="13321" max="13321" width="23.81640625" style="2821" customWidth="1"/>
    <col min="13322" max="13322" width="2.08984375" style="2821" customWidth="1"/>
    <col min="13323" max="13323" width="23.81640625" style="2821" customWidth="1"/>
    <col min="13324" max="13324" width="2.08984375" style="2821" customWidth="1"/>
    <col min="13325" max="13325" width="23.81640625" style="2821" customWidth="1"/>
    <col min="13326" max="13326" width="2.08984375" style="2821" customWidth="1"/>
    <col min="13327" max="13327" width="23.81640625" style="2821" customWidth="1"/>
    <col min="13328" max="13328" width="2.81640625" style="2821" bestFit="1" customWidth="1"/>
    <col min="13329" max="13567" width="8.81640625" style="2821"/>
    <col min="13568" max="13569" width="8.81640625" style="2821" customWidth="1"/>
    <col min="13570" max="13570" width="10.08984375" style="2821" customWidth="1"/>
    <col min="13571" max="13571" width="2.08984375" style="2821" customWidth="1"/>
    <col min="13572" max="13572" width="50.453125" style="2821" customWidth="1"/>
    <col min="13573" max="13573" width="8.81640625" style="2821"/>
    <col min="13574" max="13574" width="2.08984375" style="2821" customWidth="1"/>
    <col min="13575" max="13575" width="23.81640625" style="2821" customWidth="1"/>
    <col min="13576" max="13576" width="2.08984375" style="2821" customWidth="1"/>
    <col min="13577" max="13577" width="23.81640625" style="2821" customWidth="1"/>
    <col min="13578" max="13578" width="2.08984375" style="2821" customWidth="1"/>
    <col min="13579" max="13579" width="23.81640625" style="2821" customWidth="1"/>
    <col min="13580" max="13580" width="2.08984375" style="2821" customWidth="1"/>
    <col min="13581" max="13581" width="23.81640625" style="2821" customWidth="1"/>
    <col min="13582" max="13582" width="2.08984375" style="2821" customWidth="1"/>
    <col min="13583" max="13583" width="23.81640625" style="2821" customWidth="1"/>
    <col min="13584" max="13584" width="2.81640625" style="2821" bestFit="1" customWidth="1"/>
    <col min="13585" max="13823" width="8.81640625" style="2821"/>
    <col min="13824" max="13825" width="8.81640625" style="2821" customWidth="1"/>
    <col min="13826" max="13826" width="10.08984375" style="2821" customWidth="1"/>
    <col min="13827" max="13827" width="2.08984375" style="2821" customWidth="1"/>
    <col min="13828" max="13828" width="50.453125" style="2821" customWidth="1"/>
    <col min="13829" max="13829" width="8.81640625" style="2821"/>
    <col min="13830" max="13830" width="2.08984375" style="2821" customWidth="1"/>
    <col min="13831" max="13831" width="23.81640625" style="2821" customWidth="1"/>
    <col min="13832" max="13832" width="2.08984375" style="2821" customWidth="1"/>
    <col min="13833" max="13833" width="23.81640625" style="2821" customWidth="1"/>
    <col min="13834" max="13834" width="2.08984375" style="2821" customWidth="1"/>
    <col min="13835" max="13835" width="23.81640625" style="2821" customWidth="1"/>
    <col min="13836" max="13836" width="2.08984375" style="2821" customWidth="1"/>
    <col min="13837" max="13837" width="23.81640625" style="2821" customWidth="1"/>
    <col min="13838" max="13838" width="2.08984375" style="2821" customWidth="1"/>
    <col min="13839" max="13839" width="23.81640625" style="2821" customWidth="1"/>
    <col min="13840" max="13840" width="2.81640625" style="2821" bestFit="1" customWidth="1"/>
    <col min="13841" max="14079" width="8.81640625" style="2821"/>
    <col min="14080" max="14081" width="8.81640625" style="2821" customWidth="1"/>
    <col min="14082" max="14082" width="10.08984375" style="2821" customWidth="1"/>
    <col min="14083" max="14083" width="2.08984375" style="2821" customWidth="1"/>
    <col min="14084" max="14084" width="50.453125" style="2821" customWidth="1"/>
    <col min="14085" max="14085" width="8.81640625" style="2821"/>
    <col min="14086" max="14086" width="2.08984375" style="2821" customWidth="1"/>
    <col min="14087" max="14087" width="23.81640625" style="2821" customWidth="1"/>
    <col min="14088" max="14088" width="2.08984375" style="2821" customWidth="1"/>
    <col min="14089" max="14089" width="23.81640625" style="2821" customWidth="1"/>
    <col min="14090" max="14090" width="2.08984375" style="2821" customWidth="1"/>
    <col min="14091" max="14091" width="23.81640625" style="2821" customWidth="1"/>
    <col min="14092" max="14092" width="2.08984375" style="2821" customWidth="1"/>
    <col min="14093" max="14093" width="23.81640625" style="2821" customWidth="1"/>
    <col min="14094" max="14094" width="2.08984375" style="2821" customWidth="1"/>
    <col min="14095" max="14095" width="23.81640625" style="2821" customWidth="1"/>
    <col min="14096" max="14096" width="2.81640625" style="2821" bestFit="1" customWidth="1"/>
    <col min="14097" max="14335" width="8.81640625" style="2821"/>
    <col min="14336" max="14337" width="8.81640625" style="2821" customWidth="1"/>
    <col min="14338" max="14338" width="10.08984375" style="2821" customWidth="1"/>
    <col min="14339" max="14339" width="2.08984375" style="2821" customWidth="1"/>
    <col min="14340" max="14340" width="50.453125" style="2821" customWidth="1"/>
    <col min="14341" max="14341" width="8.81640625" style="2821"/>
    <col min="14342" max="14342" width="2.08984375" style="2821" customWidth="1"/>
    <col min="14343" max="14343" width="23.81640625" style="2821" customWidth="1"/>
    <col min="14344" max="14344" width="2.08984375" style="2821" customWidth="1"/>
    <col min="14345" max="14345" width="23.81640625" style="2821" customWidth="1"/>
    <col min="14346" max="14346" width="2.08984375" style="2821" customWidth="1"/>
    <col min="14347" max="14347" width="23.81640625" style="2821" customWidth="1"/>
    <col min="14348" max="14348" width="2.08984375" style="2821" customWidth="1"/>
    <col min="14349" max="14349" width="23.81640625" style="2821" customWidth="1"/>
    <col min="14350" max="14350" width="2.08984375" style="2821" customWidth="1"/>
    <col min="14351" max="14351" width="23.81640625" style="2821" customWidth="1"/>
    <col min="14352" max="14352" width="2.81640625" style="2821" bestFit="1" customWidth="1"/>
    <col min="14353" max="14591" width="8.81640625" style="2821"/>
    <col min="14592" max="14593" width="8.81640625" style="2821" customWidth="1"/>
    <col min="14594" max="14594" width="10.08984375" style="2821" customWidth="1"/>
    <col min="14595" max="14595" width="2.08984375" style="2821" customWidth="1"/>
    <col min="14596" max="14596" width="50.453125" style="2821" customWidth="1"/>
    <col min="14597" max="14597" width="8.81640625" style="2821"/>
    <col min="14598" max="14598" width="2.08984375" style="2821" customWidth="1"/>
    <col min="14599" max="14599" width="23.81640625" style="2821" customWidth="1"/>
    <col min="14600" max="14600" width="2.08984375" style="2821" customWidth="1"/>
    <col min="14601" max="14601" width="23.81640625" style="2821" customWidth="1"/>
    <col min="14602" max="14602" width="2.08984375" style="2821" customWidth="1"/>
    <col min="14603" max="14603" width="23.81640625" style="2821" customWidth="1"/>
    <col min="14604" max="14604" width="2.08984375" style="2821" customWidth="1"/>
    <col min="14605" max="14605" width="23.81640625" style="2821" customWidth="1"/>
    <col min="14606" max="14606" width="2.08984375" style="2821" customWidth="1"/>
    <col min="14607" max="14607" width="23.81640625" style="2821" customWidth="1"/>
    <col min="14608" max="14608" width="2.81640625" style="2821" bestFit="1" customWidth="1"/>
    <col min="14609" max="14847" width="8.81640625" style="2821"/>
    <col min="14848" max="14849" width="8.81640625" style="2821" customWidth="1"/>
    <col min="14850" max="14850" width="10.08984375" style="2821" customWidth="1"/>
    <col min="14851" max="14851" width="2.08984375" style="2821" customWidth="1"/>
    <col min="14852" max="14852" width="50.453125" style="2821" customWidth="1"/>
    <col min="14853" max="14853" width="8.81640625" style="2821"/>
    <col min="14854" max="14854" width="2.08984375" style="2821" customWidth="1"/>
    <col min="14855" max="14855" width="23.81640625" style="2821" customWidth="1"/>
    <col min="14856" max="14856" width="2.08984375" style="2821" customWidth="1"/>
    <col min="14857" max="14857" width="23.81640625" style="2821" customWidth="1"/>
    <col min="14858" max="14858" width="2.08984375" style="2821" customWidth="1"/>
    <col min="14859" max="14859" width="23.81640625" style="2821" customWidth="1"/>
    <col min="14860" max="14860" width="2.08984375" style="2821" customWidth="1"/>
    <col min="14861" max="14861" width="23.81640625" style="2821" customWidth="1"/>
    <col min="14862" max="14862" width="2.08984375" style="2821" customWidth="1"/>
    <col min="14863" max="14863" width="23.81640625" style="2821" customWidth="1"/>
    <col min="14864" max="14864" width="2.81640625" style="2821" bestFit="1" customWidth="1"/>
    <col min="14865" max="15103" width="8.81640625" style="2821"/>
    <col min="15104" max="15105" width="8.81640625" style="2821" customWidth="1"/>
    <col min="15106" max="15106" width="10.08984375" style="2821" customWidth="1"/>
    <col min="15107" max="15107" width="2.08984375" style="2821" customWidth="1"/>
    <col min="15108" max="15108" width="50.453125" style="2821" customWidth="1"/>
    <col min="15109" max="15109" width="8.81640625" style="2821"/>
    <col min="15110" max="15110" width="2.08984375" style="2821" customWidth="1"/>
    <col min="15111" max="15111" width="23.81640625" style="2821" customWidth="1"/>
    <col min="15112" max="15112" width="2.08984375" style="2821" customWidth="1"/>
    <col min="15113" max="15113" width="23.81640625" style="2821" customWidth="1"/>
    <col min="15114" max="15114" width="2.08984375" style="2821" customWidth="1"/>
    <col min="15115" max="15115" width="23.81640625" style="2821" customWidth="1"/>
    <col min="15116" max="15116" width="2.08984375" style="2821" customWidth="1"/>
    <col min="15117" max="15117" width="23.81640625" style="2821" customWidth="1"/>
    <col min="15118" max="15118" width="2.08984375" style="2821" customWidth="1"/>
    <col min="15119" max="15119" width="23.81640625" style="2821" customWidth="1"/>
    <col min="15120" max="15120" width="2.81640625" style="2821" bestFit="1" customWidth="1"/>
    <col min="15121" max="15359" width="8.81640625" style="2821"/>
    <col min="15360" max="15361" width="8.81640625" style="2821" customWidth="1"/>
    <col min="15362" max="15362" width="10.08984375" style="2821" customWidth="1"/>
    <col min="15363" max="15363" width="2.08984375" style="2821" customWidth="1"/>
    <col min="15364" max="15364" width="50.453125" style="2821" customWidth="1"/>
    <col min="15365" max="15365" width="8.81640625" style="2821"/>
    <col min="15366" max="15366" width="2.08984375" style="2821" customWidth="1"/>
    <col min="15367" max="15367" width="23.81640625" style="2821" customWidth="1"/>
    <col min="15368" max="15368" width="2.08984375" style="2821" customWidth="1"/>
    <col min="15369" max="15369" width="23.81640625" style="2821" customWidth="1"/>
    <col min="15370" max="15370" width="2.08984375" style="2821" customWidth="1"/>
    <col min="15371" max="15371" width="23.81640625" style="2821" customWidth="1"/>
    <col min="15372" max="15372" width="2.08984375" style="2821" customWidth="1"/>
    <col min="15373" max="15373" width="23.81640625" style="2821" customWidth="1"/>
    <col min="15374" max="15374" width="2.08984375" style="2821" customWidth="1"/>
    <col min="15375" max="15375" width="23.81640625" style="2821" customWidth="1"/>
    <col min="15376" max="15376" width="2.81640625" style="2821" bestFit="1" customWidth="1"/>
    <col min="15377" max="15615" width="8.81640625" style="2821"/>
    <col min="15616" max="15617" width="8.81640625" style="2821" customWidth="1"/>
    <col min="15618" max="15618" width="10.08984375" style="2821" customWidth="1"/>
    <col min="15619" max="15619" width="2.08984375" style="2821" customWidth="1"/>
    <col min="15620" max="15620" width="50.453125" style="2821" customWidth="1"/>
    <col min="15621" max="15621" width="8.81640625" style="2821"/>
    <col min="15622" max="15622" width="2.08984375" style="2821" customWidth="1"/>
    <col min="15623" max="15623" width="23.81640625" style="2821" customWidth="1"/>
    <col min="15624" max="15624" width="2.08984375" style="2821" customWidth="1"/>
    <col min="15625" max="15625" width="23.81640625" style="2821" customWidth="1"/>
    <col min="15626" max="15626" width="2.08984375" style="2821" customWidth="1"/>
    <col min="15627" max="15627" width="23.81640625" style="2821" customWidth="1"/>
    <col min="15628" max="15628" width="2.08984375" style="2821" customWidth="1"/>
    <col min="15629" max="15629" width="23.81640625" style="2821" customWidth="1"/>
    <col min="15630" max="15630" width="2.08984375" style="2821" customWidth="1"/>
    <col min="15631" max="15631" width="23.81640625" style="2821" customWidth="1"/>
    <col min="15632" max="15632" width="2.81640625" style="2821" bestFit="1" customWidth="1"/>
    <col min="15633" max="15871" width="8.81640625" style="2821"/>
    <col min="15872" max="15873" width="8.81640625" style="2821" customWidth="1"/>
    <col min="15874" max="15874" width="10.08984375" style="2821" customWidth="1"/>
    <col min="15875" max="15875" width="2.08984375" style="2821" customWidth="1"/>
    <col min="15876" max="15876" width="50.453125" style="2821" customWidth="1"/>
    <col min="15877" max="15877" width="8.81640625" style="2821"/>
    <col min="15878" max="15878" width="2.08984375" style="2821" customWidth="1"/>
    <col min="15879" max="15879" width="23.81640625" style="2821" customWidth="1"/>
    <col min="15880" max="15880" width="2.08984375" style="2821" customWidth="1"/>
    <col min="15881" max="15881" width="23.81640625" style="2821" customWidth="1"/>
    <col min="15882" max="15882" width="2.08984375" style="2821" customWidth="1"/>
    <col min="15883" max="15883" width="23.81640625" style="2821" customWidth="1"/>
    <col min="15884" max="15884" width="2.08984375" style="2821" customWidth="1"/>
    <col min="15885" max="15885" width="23.81640625" style="2821" customWidth="1"/>
    <col min="15886" max="15886" width="2.08984375" style="2821" customWidth="1"/>
    <col min="15887" max="15887" width="23.81640625" style="2821" customWidth="1"/>
    <col min="15888" max="15888" width="2.81640625" style="2821" bestFit="1" customWidth="1"/>
    <col min="15889" max="16127" width="8.81640625" style="2821"/>
    <col min="16128" max="16129" width="8.81640625" style="2821" customWidth="1"/>
    <col min="16130" max="16130" width="10.08984375" style="2821" customWidth="1"/>
    <col min="16131" max="16131" width="2.08984375" style="2821" customWidth="1"/>
    <col min="16132" max="16132" width="50.453125" style="2821" customWidth="1"/>
    <col min="16133" max="16133" width="8.81640625" style="2821"/>
    <col min="16134" max="16134" width="2.08984375" style="2821" customWidth="1"/>
    <col min="16135" max="16135" width="23.81640625" style="2821" customWidth="1"/>
    <col min="16136" max="16136" width="2.08984375" style="2821" customWidth="1"/>
    <col min="16137" max="16137" width="23.81640625" style="2821" customWidth="1"/>
    <col min="16138" max="16138" width="2.08984375" style="2821" customWidth="1"/>
    <col min="16139" max="16139" width="23.81640625" style="2821" customWidth="1"/>
    <col min="16140" max="16140" width="2.08984375" style="2821" customWidth="1"/>
    <col min="16141" max="16141" width="23.81640625" style="2821" customWidth="1"/>
    <col min="16142" max="16142" width="2.08984375" style="2821" customWidth="1"/>
    <col min="16143" max="16143" width="23.81640625" style="2821" customWidth="1"/>
    <col min="16144" max="16144" width="2.81640625" style="2821" bestFit="1" customWidth="1"/>
    <col min="16145" max="16384" width="8.81640625" style="2821"/>
  </cols>
  <sheetData>
    <row r="1" spans="2:17" ht="15.6">
      <c r="B1" s="2818"/>
      <c r="C1" s="2819"/>
      <c r="D1" s="2210" t="s">
        <v>881</v>
      </c>
      <c r="E1" s="2819"/>
      <c r="F1" s="2820"/>
      <c r="G1" s="2818"/>
      <c r="H1" s="2819"/>
      <c r="I1" s="2818"/>
      <c r="J1" s="2819"/>
      <c r="K1" s="2818"/>
      <c r="L1" s="2819"/>
      <c r="M1" s="2818"/>
      <c r="N1" s="2819"/>
      <c r="P1" s="2822"/>
    </row>
    <row r="2" spans="2:17" ht="15.6">
      <c r="B2" s="2818"/>
      <c r="C2" s="2819"/>
      <c r="D2" s="2818"/>
      <c r="E2" s="2819"/>
      <c r="F2" s="2820"/>
      <c r="G2" s="2818"/>
      <c r="H2" s="2819"/>
      <c r="I2" s="2818"/>
      <c r="J2" s="2819"/>
      <c r="K2" s="2818"/>
      <c r="L2" s="2819"/>
      <c r="M2" s="2818"/>
      <c r="N2" s="2819"/>
      <c r="O2" s="3549" t="s">
        <v>539</v>
      </c>
      <c r="P2" s="2822"/>
    </row>
    <row r="3" spans="2:17" ht="15.6">
      <c r="B3" s="2818"/>
      <c r="C3" s="2819"/>
      <c r="D3" s="2818"/>
      <c r="E3" s="2819"/>
      <c r="F3" s="2820"/>
      <c r="G3" s="2818"/>
      <c r="H3" s="2819"/>
      <c r="I3" s="2818"/>
      <c r="J3" s="2819"/>
      <c r="K3" s="2818"/>
      <c r="L3" s="2819"/>
      <c r="M3" s="2818"/>
      <c r="N3" s="2819"/>
      <c r="O3" s="3550"/>
      <c r="P3" s="2823"/>
    </row>
    <row r="4" spans="2:17" ht="17.399999999999999">
      <c r="B4" s="2824"/>
      <c r="C4" s="2825"/>
      <c r="D4" s="2826" t="s">
        <v>0</v>
      </c>
      <c r="E4" s="2825"/>
      <c r="F4" s="2825"/>
      <c r="G4" s="2484"/>
      <c r="H4" s="2827"/>
      <c r="I4" s="2484"/>
      <c r="J4" s="2827"/>
      <c r="K4" s="2484"/>
      <c r="L4" s="2827"/>
      <c r="M4" s="2828"/>
      <c r="N4" s="2828"/>
      <c r="O4" s="3551"/>
      <c r="P4" s="2829"/>
    </row>
    <row r="5" spans="2:17" ht="17.399999999999999">
      <c r="B5" s="2824"/>
      <c r="C5" s="2825"/>
      <c r="D5" s="2826" t="s">
        <v>777</v>
      </c>
      <c r="E5" s="2825"/>
      <c r="F5" s="2825"/>
      <c r="G5" s="2484"/>
      <c r="H5" s="2827"/>
      <c r="I5" s="2484"/>
      <c r="J5" s="2827"/>
      <c r="K5" s="2484"/>
      <c r="L5" s="2827"/>
      <c r="M5" s="2830"/>
      <c r="N5" s="2830"/>
      <c r="O5" s="2830"/>
      <c r="P5" s="2831"/>
    </row>
    <row r="6" spans="2:17" ht="15.6">
      <c r="B6" s="2824"/>
      <c r="C6" s="2825"/>
      <c r="D6" s="2832"/>
      <c r="E6" s="2825"/>
      <c r="F6" s="2825"/>
      <c r="G6" s="2484"/>
      <c r="H6" s="2827"/>
      <c r="I6" s="2484"/>
      <c r="J6" s="2827"/>
      <c r="K6" s="2484"/>
      <c r="L6" s="2827"/>
      <c r="M6" s="2833"/>
      <c r="N6" s="2833"/>
      <c r="O6" s="2833"/>
      <c r="P6" s="2834"/>
    </row>
    <row r="7" spans="2:17" ht="15.6">
      <c r="B7" s="2824"/>
      <c r="C7" s="2835"/>
      <c r="D7" s="2836"/>
      <c r="E7" s="2837"/>
      <c r="F7" s="2837"/>
      <c r="G7" s="2484"/>
      <c r="H7" s="2827"/>
      <c r="I7" s="2484"/>
      <c r="J7" s="2827"/>
      <c r="K7" s="2484"/>
      <c r="L7" s="2827"/>
      <c r="M7" s="2838"/>
      <c r="N7" s="2838"/>
      <c r="O7" s="2838"/>
      <c r="P7" s="2839"/>
    </row>
    <row r="8" spans="2:17" s="2846" customFormat="1" ht="16.2" thickBot="1">
      <c r="B8" s="2840" t="s">
        <v>558</v>
      </c>
      <c r="C8" s="2841"/>
      <c r="D8" s="2842" t="s">
        <v>559</v>
      </c>
      <c r="E8" s="2842"/>
      <c r="F8" s="2842"/>
      <c r="G8" s="3552" t="s">
        <v>1521</v>
      </c>
      <c r="H8" s="2843"/>
      <c r="I8" s="3552" t="s">
        <v>1528</v>
      </c>
      <c r="J8" s="2843"/>
      <c r="K8" s="3552" t="s">
        <v>1535</v>
      </c>
      <c r="L8" s="2843"/>
      <c r="M8" s="2843" t="s">
        <v>560</v>
      </c>
      <c r="N8" s="2844"/>
      <c r="O8" s="3552" t="s">
        <v>1564</v>
      </c>
      <c r="P8" s="2845"/>
    </row>
    <row r="9" spans="2:17" s="2846" customFormat="1" ht="15.6">
      <c r="B9" s="2847"/>
      <c r="C9" s="2848"/>
      <c r="D9" s="2849" t="s">
        <v>145</v>
      </c>
      <c r="E9" s="2850"/>
      <c r="F9" s="2850"/>
      <c r="G9" s="2851"/>
      <c r="H9" s="2852"/>
      <c r="I9" s="2851"/>
      <c r="J9" s="2852"/>
      <c r="K9" s="2851"/>
      <c r="L9" s="2852"/>
      <c r="M9" s="2851"/>
      <c r="N9" s="2851"/>
      <c r="O9" s="3553"/>
      <c r="P9" s="2853"/>
    </row>
    <row r="10" spans="2:17" s="2846" customFormat="1" ht="15.6">
      <c r="B10" s="2854">
        <v>10050</v>
      </c>
      <c r="C10" s="2847"/>
      <c r="D10" s="2855" t="s">
        <v>882</v>
      </c>
      <c r="E10" s="2484"/>
      <c r="F10" s="2856"/>
      <c r="G10" s="2857">
        <v>0</v>
      </c>
      <c r="H10" s="2857"/>
      <c r="I10" s="2857">
        <v>0</v>
      </c>
      <c r="J10" s="2857"/>
      <c r="K10" s="2857">
        <v>0</v>
      </c>
      <c r="L10" s="2857"/>
      <c r="M10" s="2857">
        <f>ROUND(SUM(O10)-SUM(K10),2)</f>
        <v>0</v>
      </c>
      <c r="N10" s="2857"/>
      <c r="O10" s="2857">
        <v>0</v>
      </c>
      <c r="P10" s="2858" t="s">
        <v>774</v>
      </c>
      <c r="Q10" s="2859"/>
    </row>
    <row r="11" spans="2:17" s="2846" customFormat="1" ht="16.2" thickBot="1">
      <c r="B11" s="2860"/>
      <c r="C11" s="2848"/>
      <c r="D11" s="2861" t="s">
        <v>561</v>
      </c>
      <c r="E11" s="2850"/>
      <c r="F11" s="2850"/>
      <c r="G11" s="1452">
        <f>ROUND(SUM(G10),2)</f>
        <v>0</v>
      </c>
      <c r="H11" s="1453"/>
      <c r="I11" s="1452">
        <f>ROUND(SUM(I10),2)</f>
        <v>0</v>
      </c>
      <c r="J11" s="1453"/>
      <c r="K11" s="1452">
        <f>ROUND(SUM(K10),2)</f>
        <v>0</v>
      </c>
      <c r="L11" s="1453"/>
      <c r="M11" s="1452">
        <f>ROUND(SUM(M10),2)</f>
        <v>0</v>
      </c>
      <c r="N11" s="1453"/>
      <c r="O11" s="3554">
        <f>ROUND(SUM(O10),2)</f>
        <v>0</v>
      </c>
      <c r="P11" s="2858"/>
      <c r="Q11" s="2859"/>
    </row>
    <row r="12" spans="2:17" s="2846" customFormat="1" ht="16.2" thickTop="1">
      <c r="B12" s="2860"/>
      <c r="C12" s="2862"/>
      <c r="D12" s="2863"/>
      <c r="E12" s="2864"/>
      <c r="F12" s="2864"/>
      <c r="G12" s="1453"/>
      <c r="H12" s="2865"/>
      <c r="I12" s="1453"/>
      <c r="J12" s="2865"/>
      <c r="K12" s="1453"/>
      <c r="L12" s="2865"/>
      <c r="M12" s="1453"/>
      <c r="N12" s="1453"/>
      <c r="O12" s="3555"/>
      <c r="P12" s="2866"/>
      <c r="Q12" s="2859"/>
    </row>
    <row r="13" spans="2:17" s="2846" customFormat="1" ht="15.6">
      <c r="B13" s="2860"/>
      <c r="C13" s="2848"/>
      <c r="D13" s="2849" t="s">
        <v>562</v>
      </c>
      <c r="E13" s="2850"/>
      <c r="F13" s="2850"/>
      <c r="G13" s="2865"/>
      <c r="H13" s="2484"/>
      <c r="I13" s="2865"/>
      <c r="J13" s="2484"/>
      <c r="K13" s="2865"/>
      <c r="L13" s="2484"/>
      <c r="M13" s="2865"/>
      <c r="N13" s="2865"/>
      <c r="O13" s="3556"/>
      <c r="P13" s="2866"/>
      <c r="Q13" s="2859"/>
    </row>
    <row r="14" spans="2:17" s="2846" customFormat="1" ht="15.6">
      <c r="B14" s="2854">
        <v>30051</v>
      </c>
      <c r="C14" s="2818"/>
      <c r="D14" s="2855" t="s">
        <v>563</v>
      </c>
      <c r="E14" s="2818"/>
      <c r="F14" s="1201">
        <v>227042324.13</v>
      </c>
      <c r="G14" s="1201">
        <v>0</v>
      </c>
      <c r="H14" s="1201"/>
      <c r="I14" s="1201">
        <v>0</v>
      </c>
      <c r="J14" s="1201"/>
      <c r="K14" s="1201">
        <v>0</v>
      </c>
      <c r="L14" s="1201"/>
      <c r="M14" s="1201">
        <f>ROUND(SUM(O14)-SUM(K14),2)</f>
        <v>0</v>
      </c>
      <c r="N14" s="1201"/>
      <c r="O14" s="1201">
        <v>0</v>
      </c>
      <c r="P14" s="2858"/>
      <c r="Q14" s="2859"/>
    </row>
    <row r="15" spans="2:17" s="2846" customFormat="1" ht="15.6">
      <c r="B15" s="2854">
        <v>30053</v>
      </c>
      <c r="C15" s="2818"/>
      <c r="D15" s="2855" t="s">
        <v>1171</v>
      </c>
      <c r="E15" s="2818"/>
      <c r="F15" s="1201"/>
      <c r="G15" s="1201">
        <v>0</v>
      </c>
      <c r="H15" s="1201"/>
      <c r="I15" s="1201">
        <v>0</v>
      </c>
      <c r="J15" s="1201"/>
      <c r="K15" s="1201">
        <v>0</v>
      </c>
      <c r="L15" s="1201"/>
      <c r="M15" s="1201">
        <f>ROUND(SUM(O15)-SUM(K15),2)</f>
        <v>0</v>
      </c>
      <c r="N15" s="1201"/>
      <c r="O15" s="1201">
        <v>0</v>
      </c>
      <c r="P15" s="2858"/>
      <c r="Q15" s="2859"/>
    </row>
    <row r="16" spans="2:17" s="2846" customFormat="1" ht="15.6">
      <c r="B16" s="2854">
        <v>30101</v>
      </c>
      <c r="C16" s="3802"/>
      <c r="D16" s="2855" t="s">
        <v>1428</v>
      </c>
      <c r="E16" s="2818"/>
      <c r="F16" s="1201"/>
      <c r="G16" s="1201">
        <v>0</v>
      </c>
      <c r="H16" s="1201"/>
      <c r="I16" s="1201">
        <v>0</v>
      </c>
      <c r="J16" s="1201"/>
      <c r="K16" s="1201">
        <v>0</v>
      </c>
      <c r="L16" s="1201"/>
      <c r="M16" s="1201">
        <f t="shared" ref="M16:M61" si="0">ROUND(SUM(O16)-SUM(K16),2)</f>
        <v>0</v>
      </c>
      <c r="N16" s="1201"/>
      <c r="O16" s="1201">
        <v>0</v>
      </c>
      <c r="P16" s="2858"/>
      <c r="Q16" s="2859"/>
    </row>
    <row r="17" spans="2:17" s="2846" customFormat="1" ht="15.6">
      <c r="B17" s="2854">
        <v>30102</v>
      </c>
      <c r="C17" s="2818"/>
      <c r="D17" s="2855" t="s">
        <v>1383</v>
      </c>
      <c r="E17" s="2818"/>
      <c r="F17" s="1201"/>
      <c r="G17" s="1201">
        <v>0</v>
      </c>
      <c r="H17" s="1201"/>
      <c r="I17" s="1201">
        <v>0</v>
      </c>
      <c r="J17" s="1201"/>
      <c r="K17" s="1201">
        <v>0</v>
      </c>
      <c r="L17" s="1201"/>
      <c r="M17" s="1201">
        <f t="shared" si="0"/>
        <v>0</v>
      </c>
      <c r="N17" s="1201"/>
      <c r="O17" s="1201">
        <v>0</v>
      </c>
      <c r="P17" s="2858"/>
      <c r="Q17" s="2859"/>
    </row>
    <row r="18" spans="2:17" s="2846" customFormat="1" ht="15.6">
      <c r="B18" s="2854">
        <v>30103</v>
      </c>
      <c r="C18" s="2818"/>
      <c r="D18" s="2855" t="s">
        <v>1384</v>
      </c>
      <c r="E18" s="2818"/>
      <c r="F18" s="1201"/>
      <c r="G18" s="1201">
        <v>0</v>
      </c>
      <c r="H18" s="1201"/>
      <c r="I18" s="1201">
        <v>0</v>
      </c>
      <c r="J18" s="1201"/>
      <c r="K18" s="1201">
        <v>0</v>
      </c>
      <c r="L18" s="1201"/>
      <c r="M18" s="1201">
        <f t="shared" si="0"/>
        <v>0</v>
      </c>
      <c r="N18" s="1201"/>
      <c r="O18" s="1201">
        <v>0</v>
      </c>
      <c r="P18" s="2858"/>
      <c r="Q18" s="2859"/>
    </row>
    <row r="19" spans="2:17" s="2846" customFormat="1" ht="15.6">
      <c r="B19" s="2854">
        <v>30104</v>
      </c>
      <c r="C19" s="2818"/>
      <c r="D19" s="2855" t="s">
        <v>1385</v>
      </c>
      <c r="E19" s="2818"/>
      <c r="F19" s="1201"/>
      <c r="G19" s="1201">
        <v>0</v>
      </c>
      <c r="H19" s="1201"/>
      <c r="I19" s="1201">
        <v>0</v>
      </c>
      <c r="J19" s="1201"/>
      <c r="K19" s="1201">
        <v>0</v>
      </c>
      <c r="L19" s="1201"/>
      <c r="M19" s="1201">
        <f t="shared" si="0"/>
        <v>0</v>
      </c>
      <c r="N19" s="1201"/>
      <c r="O19" s="1201">
        <v>0</v>
      </c>
      <c r="P19" s="2858"/>
      <c r="Q19" s="2859"/>
    </row>
    <row r="20" spans="2:17" s="2846" customFormat="1" ht="15.6">
      <c r="B20" s="2854">
        <v>30105</v>
      </c>
      <c r="C20" s="2818"/>
      <c r="D20" s="2855" t="s">
        <v>1386</v>
      </c>
      <c r="E20" s="2818"/>
      <c r="F20" s="1201"/>
      <c r="G20" s="1201">
        <v>0</v>
      </c>
      <c r="H20" s="1201"/>
      <c r="I20" s="1201">
        <v>0</v>
      </c>
      <c r="J20" s="1201"/>
      <c r="K20" s="1201">
        <v>0</v>
      </c>
      <c r="L20" s="1201"/>
      <c r="M20" s="1201">
        <f t="shared" si="0"/>
        <v>0</v>
      </c>
      <c r="N20" s="1201"/>
      <c r="O20" s="1201">
        <v>0</v>
      </c>
      <c r="P20" s="2858"/>
      <c r="Q20" s="2859"/>
    </row>
    <row r="21" spans="2:17" s="2846" customFormat="1" ht="15.6">
      <c r="B21" s="2854">
        <v>30106</v>
      </c>
      <c r="C21" s="2818"/>
      <c r="D21" s="2855" t="s">
        <v>1387</v>
      </c>
      <c r="E21" s="2818"/>
      <c r="F21" s="1201"/>
      <c r="G21" s="1201">
        <v>0</v>
      </c>
      <c r="H21" s="1201"/>
      <c r="I21" s="1201">
        <v>0</v>
      </c>
      <c r="J21" s="1201"/>
      <c r="K21" s="1201">
        <v>0</v>
      </c>
      <c r="L21" s="1201"/>
      <c r="M21" s="1201">
        <f t="shared" si="0"/>
        <v>0</v>
      </c>
      <c r="N21" s="1201"/>
      <c r="O21" s="1201">
        <v>0</v>
      </c>
      <c r="P21" s="2858"/>
      <c r="Q21" s="2859"/>
    </row>
    <row r="22" spans="2:17" s="2846" customFormat="1" ht="15.6">
      <c r="B22" s="2854">
        <v>30107</v>
      </c>
      <c r="C22" s="2818"/>
      <c r="D22" s="2855" t="s">
        <v>1388</v>
      </c>
      <c r="E22" s="2818"/>
      <c r="F22" s="1201"/>
      <c r="G22" s="1201">
        <v>0</v>
      </c>
      <c r="H22" s="1201"/>
      <c r="I22" s="1201">
        <v>0</v>
      </c>
      <c r="J22" s="1201"/>
      <c r="K22" s="1201">
        <v>0</v>
      </c>
      <c r="L22" s="1201"/>
      <c r="M22" s="1201">
        <f t="shared" si="0"/>
        <v>0</v>
      </c>
      <c r="N22" s="1201"/>
      <c r="O22" s="1201">
        <v>0</v>
      </c>
      <c r="P22" s="2858"/>
      <c r="Q22" s="2859"/>
    </row>
    <row r="23" spans="2:17" s="2846" customFormat="1" ht="15.6">
      <c r="B23" s="2854">
        <v>30108</v>
      </c>
      <c r="C23" s="2818"/>
      <c r="D23" s="2855" t="s">
        <v>1389</v>
      </c>
      <c r="E23" s="2818"/>
      <c r="F23" s="1201"/>
      <c r="G23" s="1201">
        <v>0</v>
      </c>
      <c r="H23" s="1201"/>
      <c r="I23" s="1201">
        <v>0</v>
      </c>
      <c r="J23" s="1201"/>
      <c r="K23" s="1201">
        <v>0</v>
      </c>
      <c r="L23" s="1201"/>
      <c r="M23" s="1201">
        <f t="shared" si="0"/>
        <v>0</v>
      </c>
      <c r="N23" s="1201"/>
      <c r="O23" s="1201">
        <v>0</v>
      </c>
      <c r="P23" s="2858"/>
      <c r="Q23" s="2859"/>
    </row>
    <row r="24" spans="2:17" s="2846" customFormat="1" ht="15.6">
      <c r="B24" s="2854">
        <v>30109</v>
      </c>
      <c r="C24" s="2818"/>
      <c r="D24" s="2855" t="s">
        <v>1390</v>
      </c>
      <c r="E24" s="2818"/>
      <c r="F24" s="1201"/>
      <c r="G24" s="1201">
        <v>0</v>
      </c>
      <c r="H24" s="1201"/>
      <c r="I24" s="1201">
        <v>0</v>
      </c>
      <c r="J24" s="1201"/>
      <c r="K24" s="1201">
        <v>0</v>
      </c>
      <c r="L24" s="1201"/>
      <c r="M24" s="1201">
        <f t="shared" si="0"/>
        <v>0</v>
      </c>
      <c r="N24" s="1201"/>
      <c r="O24" s="1201">
        <v>0</v>
      </c>
      <c r="P24" s="2858"/>
      <c r="Q24" s="2859"/>
    </row>
    <row r="25" spans="2:17" s="2846" customFormat="1" ht="15.6">
      <c r="B25" s="2854">
        <v>30110</v>
      </c>
      <c r="C25" s="2818"/>
      <c r="D25" s="2855" t="s">
        <v>1391</v>
      </c>
      <c r="E25" s="2818"/>
      <c r="F25" s="1201"/>
      <c r="G25" s="1201">
        <v>0</v>
      </c>
      <c r="H25" s="1201"/>
      <c r="I25" s="1201">
        <v>0</v>
      </c>
      <c r="J25" s="1201"/>
      <c r="K25" s="1201">
        <v>0</v>
      </c>
      <c r="L25" s="1201"/>
      <c r="M25" s="1201">
        <f t="shared" si="0"/>
        <v>0</v>
      </c>
      <c r="N25" s="1201"/>
      <c r="O25" s="1201">
        <v>0</v>
      </c>
      <c r="P25" s="2858"/>
      <c r="Q25" s="2859"/>
    </row>
    <row r="26" spans="2:17" s="2846" customFormat="1" ht="15.6">
      <c r="B26" s="2854">
        <v>30111</v>
      </c>
      <c r="C26" s="2818"/>
      <c r="D26" s="2855" t="s">
        <v>1392</v>
      </c>
      <c r="E26" s="2818"/>
      <c r="F26" s="1201"/>
      <c r="G26" s="1201">
        <v>0</v>
      </c>
      <c r="H26" s="1201"/>
      <c r="I26" s="1201">
        <v>10846.13</v>
      </c>
      <c r="J26" s="1201"/>
      <c r="K26" s="1201">
        <v>0</v>
      </c>
      <c r="L26" s="1201"/>
      <c r="M26" s="1201">
        <f t="shared" si="0"/>
        <v>0</v>
      </c>
      <c r="N26" s="1201"/>
      <c r="O26" s="1201">
        <v>0</v>
      </c>
      <c r="P26" s="2858"/>
      <c r="Q26" s="2859"/>
    </row>
    <row r="27" spans="2:17" s="2846" customFormat="1" ht="15.6">
      <c r="B27" s="2854">
        <v>30112</v>
      </c>
      <c r="C27" s="2818"/>
      <c r="D27" s="2855" t="s">
        <v>1393</v>
      </c>
      <c r="E27" s="2818"/>
      <c r="F27" s="1201"/>
      <c r="G27" s="1201">
        <v>0</v>
      </c>
      <c r="H27" s="1201"/>
      <c r="I27" s="1201">
        <v>0</v>
      </c>
      <c r="J27" s="1201"/>
      <c r="K27" s="1201">
        <v>0</v>
      </c>
      <c r="L27" s="1201"/>
      <c r="M27" s="1201">
        <f t="shared" si="0"/>
        <v>0</v>
      </c>
      <c r="N27" s="1201"/>
      <c r="O27" s="1201">
        <v>0</v>
      </c>
      <c r="P27" s="2858"/>
      <c r="Q27" s="2859"/>
    </row>
    <row r="28" spans="2:17" s="2846" customFormat="1" ht="15.6">
      <c r="B28" s="2854">
        <v>30113</v>
      </c>
      <c r="C28" s="2818"/>
      <c r="D28" s="2855" t="s">
        <v>1394</v>
      </c>
      <c r="E28" s="2818"/>
      <c r="F28" s="1201"/>
      <c r="G28" s="1201">
        <v>0</v>
      </c>
      <c r="H28" s="1201"/>
      <c r="I28" s="1201">
        <v>0</v>
      </c>
      <c r="J28" s="1201"/>
      <c r="K28" s="1201">
        <v>0</v>
      </c>
      <c r="L28" s="1201"/>
      <c r="M28" s="1201">
        <f t="shared" si="0"/>
        <v>0</v>
      </c>
      <c r="N28" s="1201"/>
      <c r="O28" s="1201">
        <v>0</v>
      </c>
      <c r="P28" s="2858"/>
      <c r="Q28" s="2859"/>
    </row>
    <row r="29" spans="2:17" s="2846" customFormat="1" ht="15.6">
      <c r="B29" s="2854">
        <v>30114</v>
      </c>
      <c r="C29" s="2818"/>
      <c r="D29" s="2855" t="s">
        <v>1395</v>
      </c>
      <c r="E29" s="2818"/>
      <c r="F29" s="1201"/>
      <c r="G29" s="1201">
        <v>0</v>
      </c>
      <c r="H29" s="1201"/>
      <c r="I29" s="1201">
        <v>0</v>
      </c>
      <c r="J29" s="1201"/>
      <c r="K29" s="1201">
        <v>0</v>
      </c>
      <c r="L29" s="1201"/>
      <c r="M29" s="1201">
        <f t="shared" si="0"/>
        <v>0</v>
      </c>
      <c r="N29" s="1201"/>
      <c r="O29" s="1201">
        <v>0</v>
      </c>
      <c r="P29" s="2858"/>
      <c r="Q29" s="2859"/>
    </row>
    <row r="30" spans="2:17" s="2846" customFormat="1" ht="15.6">
      <c r="B30" s="2854">
        <v>30115</v>
      </c>
      <c r="C30" s="2818"/>
      <c r="D30" s="2855" t="s">
        <v>1396</v>
      </c>
      <c r="E30" s="2818"/>
      <c r="F30" s="1201"/>
      <c r="G30" s="1201">
        <v>0</v>
      </c>
      <c r="H30" s="1201"/>
      <c r="I30" s="1201">
        <v>0</v>
      </c>
      <c r="J30" s="1201"/>
      <c r="K30" s="1201">
        <v>0</v>
      </c>
      <c r="L30" s="1201"/>
      <c r="M30" s="1201">
        <f t="shared" si="0"/>
        <v>0</v>
      </c>
      <c r="N30" s="1201"/>
      <c r="O30" s="1201">
        <v>0</v>
      </c>
      <c r="P30" s="2858"/>
      <c r="Q30" s="2859"/>
    </row>
    <row r="31" spans="2:17" s="2846" customFormat="1" ht="15.6">
      <c r="B31" s="2854">
        <v>30116</v>
      </c>
      <c r="C31" s="2818"/>
      <c r="D31" s="2855" t="s">
        <v>1397</v>
      </c>
      <c r="E31" s="2818"/>
      <c r="F31" s="1201"/>
      <c r="G31" s="1201">
        <v>0</v>
      </c>
      <c r="H31" s="1201"/>
      <c r="I31" s="1201">
        <v>0</v>
      </c>
      <c r="J31" s="1201"/>
      <c r="K31" s="1201">
        <v>0</v>
      </c>
      <c r="L31" s="1201"/>
      <c r="M31" s="1201">
        <f t="shared" si="0"/>
        <v>0</v>
      </c>
      <c r="N31" s="1201"/>
      <c r="O31" s="1201">
        <v>0</v>
      </c>
      <c r="P31" s="2858"/>
      <c r="Q31" s="2859"/>
    </row>
    <row r="32" spans="2:17" s="2846" customFormat="1" ht="15.6">
      <c r="B32" s="2854">
        <v>30117</v>
      </c>
      <c r="C32" s="2818"/>
      <c r="D32" s="2855" t="s">
        <v>1398</v>
      </c>
      <c r="E32" s="2818"/>
      <c r="F32" s="1201"/>
      <c r="G32" s="1201">
        <v>0</v>
      </c>
      <c r="H32" s="1201"/>
      <c r="I32" s="1201">
        <v>0</v>
      </c>
      <c r="J32" s="1201"/>
      <c r="K32" s="1201">
        <v>0</v>
      </c>
      <c r="L32" s="1201"/>
      <c r="M32" s="1201">
        <f t="shared" si="0"/>
        <v>0</v>
      </c>
      <c r="N32" s="1201"/>
      <c r="O32" s="1201">
        <v>0</v>
      </c>
      <c r="P32" s="2858"/>
      <c r="Q32" s="2859"/>
    </row>
    <row r="33" spans="2:17" s="2846" customFormat="1" ht="15.6">
      <c r="B33" s="2854">
        <v>30118</v>
      </c>
      <c r="C33" s="2818"/>
      <c r="D33" s="2855" t="s">
        <v>1399</v>
      </c>
      <c r="E33" s="2818"/>
      <c r="F33" s="1201"/>
      <c r="G33" s="1201">
        <v>0</v>
      </c>
      <c r="H33" s="1201"/>
      <c r="I33" s="1201">
        <v>0</v>
      </c>
      <c r="J33" s="1201"/>
      <c r="K33" s="1201">
        <v>0</v>
      </c>
      <c r="L33" s="1201"/>
      <c r="M33" s="1201">
        <f t="shared" si="0"/>
        <v>0</v>
      </c>
      <c r="N33" s="1201"/>
      <c r="O33" s="1201">
        <v>0</v>
      </c>
      <c r="P33" s="2858"/>
      <c r="Q33" s="2859"/>
    </row>
    <row r="34" spans="2:17" s="2846" customFormat="1" ht="15.6">
      <c r="B34" s="2854">
        <v>30119</v>
      </c>
      <c r="C34" s="2818"/>
      <c r="D34" s="2855" t="s">
        <v>1400</v>
      </c>
      <c r="E34" s="2818"/>
      <c r="F34" s="1201"/>
      <c r="G34" s="1201">
        <v>0</v>
      </c>
      <c r="H34" s="1201"/>
      <c r="I34" s="1201">
        <v>0</v>
      </c>
      <c r="J34" s="1201"/>
      <c r="K34" s="1201">
        <v>0</v>
      </c>
      <c r="L34" s="1201"/>
      <c r="M34" s="1201">
        <f t="shared" si="0"/>
        <v>0</v>
      </c>
      <c r="N34" s="1201"/>
      <c r="O34" s="1201">
        <v>0</v>
      </c>
      <c r="P34" s="2858"/>
      <c r="Q34" s="2859"/>
    </row>
    <row r="35" spans="2:17" s="2846" customFormat="1" ht="15.6">
      <c r="B35" s="2854">
        <v>30120</v>
      </c>
      <c r="C35" s="2818"/>
      <c r="D35" s="2855" t="s">
        <v>1401</v>
      </c>
      <c r="E35" s="2818"/>
      <c r="F35" s="1201"/>
      <c r="G35" s="1201">
        <v>0</v>
      </c>
      <c r="H35" s="1201"/>
      <c r="I35" s="1201">
        <v>0</v>
      </c>
      <c r="J35" s="1201"/>
      <c r="K35" s="1201">
        <v>0</v>
      </c>
      <c r="L35" s="1201"/>
      <c r="M35" s="1201">
        <f t="shared" si="0"/>
        <v>0</v>
      </c>
      <c r="N35" s="1201"/>
      <c r="O35" s="1201">
        <v>0</v>
      </c>
      <c r="P35" s="2858"/>
      <c r="Q35" s="2859"/>
    </row>
    <row r="36" spans="2:17" s="2846" customFormat="1" ht="15.6">
      <c r="B36" s="2854">
        <v>30121</v>
      </c>
      <c r="C36" s="2818"/>
      <c r="D36" s="2855" t="s">
        <v>1402</v>
      </c>
      <c r="E36" s="2818"/>
      <c r="F36" s="1201"/>
      <c r="G36" s="1201">
        <v>0</v>
      </c>
      <c r="H36" s="1201"/>
      <c r="I36" s="1201">
        <v>0</v>
      </c>
      <c r="J36" s="1201"/>
      <c r="K36" s="1201">
        <v>0</v>
      </c>
      <c r="L36" s="1201"/>
      <c r="M36" s="1201">
        <f t="shared" si="0"/>
        <v>0</v>
      </c>
      <c r="N36" s="1201"/>
      <c r="O36" s="1201">
        <v>0</v>
      </c>
      <c r="P36" s="2858"/>
      <c r="Q36" s="2859"/>
    </row>
    <row r="37" spans="2:17" s="2846" customFormat="1" ht="15.6">
      <c r="B37" s="2854">
        <v>30122</v>
      </c>
      <c r="C37" s="2818"/>
      <c r="D37" s="2855" t="s">
        <v>1403</v>
      </c>
      <c r="E37" s="2818"/>
      <c r="F37" s="1201"/>
      <c r="G37" s="1201">
        <v>0</v>
      </c>
      <c r="H37" s="1201"/>
      <c r="I37" s="1201">
        <v>0</v>
      </c>
      <c r="J37" s="1201"/>
      <c r="K37" s="1201">
        <v>0</v>
      </c>
      <c r="L37" s="1201"/>
      <c r="M37" s="1201">
        <f t="shared" si="0"/>
        <v>0</v>
      </c>
      <c r="N37" s="1201"/>
      <c r="O37" s="1201">
        <v>0</v>
      </c>
      <c r="P37" s="2858"/>
      <c r="Q37" s="2859"/>
    </row>
    <row r="38" spans="2:17" s="2846" customFormat="1" ht="15.6">
      <c r="B38" s="2854">
        <v>30123</v>
      </c>
      <c r="C38" s="2818"/>
      <c r="D38" s="2855" t="s">
        <v>1404</v>
      </c>
      <c r="E38" s="2818"/>
      <c r="F38" s="1201"/>
      <c r="G38" s="1201">
        <v>0</v>
      </c>
      <c r="H38" s="1201"/>
      <c r="I38" s="1201">
        <v>0</v>
      </c>
      <c r="J38" s="1201"/>
      <c r="K38" s="1201">
        <v>0</v>
      </c>
      <c r="L38" s="1201"/>
      <c r="M38" s="1201">
        <f t="shared" si="0"/>
        <v>0</v>
      </c>
      <c r="N38" s="1201"/>
      <c r="O38" s="1201">
        <v>0</v>
      </c>
      <c r="P38" s="2858"/>
      <c r="Q38" s="2859"/>
    </row>
    <row r="39" spans="2:17" s="2846" customFormat="1" ht="15.6">
      <c r="B39" s="2854">
        <v>30124</v>
      </c>
      <c r="C39" s="2818"/>
      <c r="D39" s="2855" t="s">
        <v>1405</v>
      </c>
      <c r="E39" s="2818"/>
      <c r="F39" s="1201"/>
      <c r="G39" s="1201">
        <v>0</v>
      </c>
      <c r="H39" s="1201"/>
      <c r="I39" s="1201">
        <v>0</v>
      </c>
      <c r="J39" s="1201"/>
      <c r="K39" s="1201">
        <v>0</v>
      </c>
      <c r="L39" s="1201"/>
      <c r="M39" s="1201">
        <f t="shared" si="0"/>
        <v>0</v>
      </c>
      <c r="N39" s="1201"/>
      <c r="O39" s="1201">
        <v>0</v>
      </c>
      <c r="P39" s="2858"/>
      <c r="Q39" s="2859"/>
    </row>
    <row r="40" spans="2:17" s="2846" customFormat="1" ht="15.6">
      <c r="B40" s="2854">
        <v>30125</v>
      </c>
      <c r="C40" s="2818"/>
      <c r="D40" s="2855" t="s">
        <v>1406</v>
      </c>
      <c r="E40" s="2818"/>
      <c r="F40" s="1201"/>
      <c r="G40" s="1201">
        <v>0</v>
      </c>
      <c r="H40" s="1201"/>
      <c r="I40" s="1201">
        <v>0</v>
      </c>
      <c r="J40" s="1201"/>
      <c r="K40" s="1201">
        <v>0</v>
      </c>
      <c r="L40" s="1201"/>
      <c r="M40" s="1201">
        <f t="shared" si="0"/>
        <v>0</v>
      </c>
      <c r="N40" s="1201"/>
      <c r="O40" s="1201">
        <v>0</v>
      </c>
      <c r="P40" s="2858"/>
      <c r="Q40" s="2859"/>
    </row>
    <row r="41" spans="2:17" s="2846" customFormat="1" ht="15.6">
      <c r="B41" s="2854">
        <v>30126</v>
      </c>
      <c r="C41" s="2818"/>
      <c r="D41" s="2855" t="s">
        <v>1407</v>
      </c>
      <c r="E41" s="2818"/>
      <c r="F41" s="1201"/>
      <c r="G41" s="1201">
        <v>0</v>
      </c>
      <c r="H41" s="1201"/>
      <c r="I41" s="1201">
        <v>0</v>
      </c>
      <c r="J41" s="1201"/>
      <c r="K41" s="1201">
        <v>0</v>
      </c>
      <c r="L41" s="1201"/>
      <c r="M41" s="1201">
        <f t="shared" si="0"/>
        <v>0</v>
      </c>
      <c r="N41" s="1201"/>
      <c r="O41" s="1201">
        <v>0</v>
      </c>
      <c r="P41" s="2858"/>
      <c r="Q41" s="2859"/>
    </row>
    <row r="42" spans="2:17" s="2846" customFormat="1" ht="15.6">
      <c r="B42" s="2854">
        <v>30127</v>
      </c>
      <c r="C42" s="2818"/>
      <c r="D42" s="2855" t="s">
        <v>1408</v>
      </c>
      <c r="E42" s="2818"/>
      <c r="F42" s="1201"/>
      <c r="G42" s="1201">
        <v>0</v>
      </c>
      <c r="H42" s="1201"/>
      <c r="I42" s="1201">
        <v>0</v>
      </c>
      <c r="J42" s="1201"/>
      <c r="K42" s="1201">
        <v>0</v>
      </c>
      <c r="L42" s="1201"/>
      <c r="M42" s="1201">
        <f t="shared" si="0"/>
        <v>0</v>
      </c>
      <c r="N42" s="1201"/>
      <c r="O42" s="1201">
        <v>0</v>
      </c>
      <c r="P42" s="2858"/>
      <c r="Q42" s="2859"/>
    </row>
    <row r="43" spans="2:17" s="2846" customFormat="1" ht="15.6">
      <c r="B43" s="2854">
        <v>30128</v>
      </c>
      <c r="C43" s="2818"/>
      <c r="D43" s="2855" t="s">
        <v>1409</v>
      </c>
      <c r="E43" s="2818"/>
      <c r="F43" s="1201"/>
      <c r="G43" s="1201">
        <v>0</v>
      </c>
      <c r="H43" s="1201"/>
      <c r="I43" s="1201">
        <v>0</v>
      </c>
      <c r="J43" s="1201"/>
      <c r="K43" s="1201">
        <v>0</v>
      </c>
      <c r="L43" s="1201"/>
      <c r="M43" s="1201">
        <f t="shared" si="0"/>
        <v>0</v>
      </c>
      <c r="N43" s="1201"/>
      <c r="O43" s="1201">
        <v>0</v>
      </c>
      <c r="P43" s="2858"/>
      <c r="Q43" s="2859"/>
    </row>
    <row r="44" spans="2:17" s="2846" customFormat="1" ht="15.6">
      <c r="B44" s="2854">
        <v>30129</v>
      </c>
      <c r="C44" s="2818"/>
      <c r="D44" s="2855" t="s">
        <v>1410</v>
      </c>
      <c r="E44" s="2818"/>
      <c r="F44" s="1201"/>
      <c r="G44" s="1201">
        <v>0</v>
      </c>
      <c r="H44" s="1201"/>
      <c r="I44" s="1201">
        <v>0</v>
      </c>
      <c r="J44" s="1201"/>
      <c r="K44" s="1201">
        <v>0</v>
      </c>
      <c r="L44" s="1201"/>
      <c r="M44" s="1201">
        <f t="shared" si="0"/>
        <v>0</v>
      </c>
      <c r="N44" s="1201"/>
      <c r="O44" s="1201">
        <v>0</v>
      </c>
      <c r="P44" s="2858"/>
      <c r="Q44" s="2859"/>
    </row>
    <row r="45" spans="2:17" s="2846" customFormat="1" ht="15.6">
      <c r="B45" s="2854">
        <v>30130</v>
      </c>
      <c r="C45" s="2818"/>
      <c r="D45" s="2855" t="s">
        <v>1411</v>
      </c>
      <c r="E45" s="2818"/>
      <c r="F45" s="1201"/>
      <c r="G45" s="1201">
        <v>0</v>
      </c>
      <c r="H45" s="1201"/>
      <c r="I45" s="1201">
        <v>0</v>
      </c>
      <c r="J45" s="1201"/>
      <c r="K45" s="1201">
        <v>0</v>
      </c>
      <c r="L45" s="1201"/>
      <c r="M45" s="1201">
        <f t="shared" si="0"/>
        <v>0</v>
      </c>
      <c r="N45" s="1201"/>
      <c r="O45" s="1201">
        <v>0</v>
      </c>
      <c r="P45" s="2858"/>
      <c r="Q45" s="2859"/>
    </row>
    <row r="46" spans="2:17" s="2846" customFormat="1" ht="15.6">
      <c r="B46" s="2854">
        <v>30131</v>
      </c>
      <c r="C46" s="2818"/>
      <c r="D46" s="2855" t="s">
        <v>1412</v>
      </c>
      <c r="E46" s="2818"/>
      <c r="F46" s="1201"/>
      <c r="G46" s="1201">
        <v>0</v>
      </c>
      <c r="H46" s="1201"/>
      <c r="I46" s="1201">
        <v>0</v>
      </c>
      <c r="J46" s="1201"/>
      <c r="K46" s="1201">
        <v>0</v>
      </c>
      <c r="L46" s="1201"/>
      <c r="M46" s="1201">
        <f t="shared" si="0"/>
        <v>0</v>
      </c>
      <c r="N46" s="1201"/>
      <c r="O46" s="1201">
        <v>0</v>
      </c>
      <c r="P46" s="2858"/>
      <c r="Q46" s="2859"/>
    </row>
    <row r="47" spans="2:17" s="2846" customFormat="1" ht="15.6">
      <c r="B47" s="2854">
        <v>30132</v>
      </c>
      <c r="C47" s="2818"/>
      <c r="D47" s="2855" t="s">
        <v>1413</v>
      </c>
      <c r="E47" s="2818"/>
      <c r="F47" s="1201"/>
      <c r="G47" s="1201">
        <v>0</v>
      </c>
      <c r="H47" s="1201"/>
      <c r="I47" s="1201">
        <v>0</v>
      </c>
      <c r="J47" s="1201"/>
      <c r="K47" s="1201">
        <v>0</v>
      </c>
      <c r="L47" s="1201"/>
      <c r="M47" s="1201">
        <f t="shared" si="0"/>
        <v>0</v>
      </c>
      <c r="N47" s="1201"/>
      <c r="O47" s="1201">
        <v>0</v>
      </c>
      <c r="P47" s="2858"/>
      <c r="Q47" s="2859"/>
    </row>
    <row r="48" spans="2:17" s="2846" customFormat="1" ht="15.6">
      <c r="B48" s="2854">
        <v>30133</v>
      </c>
      <c r="C48" s="2818"/>
      <c r="D48" s="2855" t="s">
        <v>1414</v>
      </c>
      <c r="E48" s="2818"/>
      <c r="F48" s="1201"/>
      <c r="G48" s="1201">
        <v>0</v>
      </c>
      <c r="H48" s="1201"/>
      <c r="I48" s="1201">
        <v>0</v>
      </c>
      <c r="J48" s="1201"/>
      <c r="K48" s="1201">
        <v>0</v>
      </c>
      <c r="L48" s="1201"/>
      <c r="M48" s="1201">
        <f t="shared" si="0"/>
        <v>0</v>
      </c>
      <c r="N48" s="1201"/>
      <c r="O48" s="1201">
        <v>0</v>
      </c>
      <c r="P48" s="2858"/>
      <c r="Q48" s="2859"/>
    </row>
    <row r="49" spans="2:17" s="2846" customFormat="1" ht="15.6">
      <c r="B49" s="2854">
        <v>30134</v>
      </c>
      <c r="C49" s="2818"/>
      <c r="D49" s="2855" t="s">
        <v>1415</v>
      </c>
      <c r="E49" s="2818"/>
      <c r="F49" s="1201"/>
      <c r="G49" s="1201">
        <v>0</v>
      </c>
      <c r="H49" s="1201"/>
      <c r="I49" s="1201">
        <v>0</v>
      </c>
      <c r="J49" s="1201"/>
      <c r="K49" s="1201">
        <v>0</v>
      </c>
      <c r="L49" s="1201"/>
      <c r="M49" s="1201">
        <f t="shared" si="0"/>
        <v>0</v>
      </c>
      <c r="N49" s="1201"/>
      <c r="O49" s="1201">
        <v>0</v>
      </c>
      <c r="P49" s="2858"/>
      <c r="Q49" s="2859"/>
    </row>
    <row r="50" spans="2:17" s="2846" customFormat="1" ht="15.6">
      <c r="B50" s="2854">
        <v>30135</v>
      </c>
      <c r="C50" s="2818"/>
      <c r="D50" s="2855" t="s">
        <v>1416</v>
      </c>
      <c r="E50" s="2818"/>
      <c r="F50" s="1201"/>
      <c r="G50" s="1201">
        <v>0</v>
      </c>
      <c r="H50" s="1201"/>
      <c r="I50" s="1201">
        <v>0</v>
      </c>
      <c r="J50" s="1201"/>
      <c r="K50" s="1201">
        <v>0</v>
      </c>
      <c r="L50" s="1201"/>
      <c r="M50" s="1201">
        <f t="shared" si="0"/>
        <v>0</v>
      </c>
      <c r="N50" s="1201"/>
      <c r="O50" s="1201">
        <v>0</v>
      </c>
      <c r="P50" s="2858"/>
      <c r="Q50" s="2859"/>
    </row>
    <row r="51" spans="2:17" s="2846" customFormat="1" ht="15.6">
      <c r="B51" s="2854">
        <v>30136</v>
      </c>
      <c r="C51" s="2818"/>
      <c r="D51" s="2855" t="s">
        <v>1417</v>
      </c>
      <c r="E51" s="2818"/>
      <c r="F51" s="1201"/>
      <c r="G51" s="1201">
        <v>0</v>
      </c>
      <c r="H51" s="1201"/>
      <c r="I51" s="1201">
        <v>0</v>
      </c>
      <c r="J51" s="1201"/>
      <c r="K51" s="1201">
        <v>0</v>
      </c>
      <c r="L51" s="1201"/>
      <c r="M51" s="1201">
        <f t="shared" si="0"/>
        <v>0</v>
      </c>
      <c r="N51" s="1201"/>
      <c r="O51" s="1201">
        <v>0</v>
      </c>
      <c r="P51" s="2858"/>
      <c r="Q51" s="2859"/>
    </row>
    <row r="52" spans="2:17" s="2846" customFormat="1" ht="15.6">
      <c r="B52" s="2854">
        <v>30137</v>
      </c>
      <c r="C52" s="2818"/>
      <c r="D52" s="2855" t="s">
        <v>1418</v>
      </c>
      <c r="E52" s="2818"/>
      <c r="F52" s="1201"/>
      <c r="G52" s="1201">
        <v>0</v>
      </c>
      <c r="H52" s="1201"/>
      <c r="I52" s="1201">
        <v>0</v>
      </c>
      <c r="J52" s="1201"/>
      <c r="K52" s="1201">
        <v>0</v>
      </c>
      <c r="L52" s="1201"/>
      <c r="M52" s="1201">
        <f t="shared" si="0"/>
        <v>0</v>
      </c>
      <c r="N52" s="1201"/>
      <c r="O52" s="1201">
        <v>0</v>
      </c>
      <c r="P52" s="2858"/>
      <c r="Q52" s="2859"/>
    </row>
    <row r="53" spans="2:17" s="2846" customFormat="1" ht="15.6">
      <c r="B53" s="2854">
        <v>30138</v>
      </c>
      <c r="C53" s="2818"/>
      <c r="D53" s="2855" t="s">
        <v>1419</v>
      </c>
      <c r="E53" s="2818"/>
      <c r="F53" s="1201"/>
      <c r="G53" s="1201">
        <v>0</v>
      </c>
      <c r="H53" s="1201"/>
      <c r="I53" s="1201">
        <v>0</v>
      </c>
      <c r="J53" s="1201"/>
      <c r="K53" s="1201">
        <v>0</v>
      </c>
      <c r="L53" s="1201"/>
      <c r="M53" s="1201">
        <f t="shared" si="0"/>
        <v>0</v>
      </c>
      <c r="N53" s="1201"/>
      <c r="O53" s="1201">
        <v>0</v>
      </c>
      <c r="P53" s="2858"/>
      <c r="Q53" s="2859"/>
    </row>
    <row r="54" spans="2:17" s="2846" customFormat="1" ht="15.6">
      <c r="B54" s="2854">
        <v>30139</v>
      </c>
      <c r="C54" s="2818"/>
      <c r="D54" s="2855" t="s">
        <v>1420</v>
      </c>
      <c r="E54" s="2818"/>
      <c r="F54" s="1201"/>
      <c r="G54" s="1201">
        <v>0</v>
      </c>
      <c r="H54" s="1201"/>
      <c r="I54" s="1201">
        <v>0</v>
      </c>
      <c r="J54" s="1201"/>
      <c r="K54" s="1201">
        <v>0</v>
      </c>
      <c r="L54" s="1201"/>
      <c r="M54" s="1201">
        <f t="shared" si="0"/>
        <v>0</v>
      </c>
      <c r="N54" s="1201"/>
      <c r="O54" s="1201">
        <v>0</v>
      </c>
      <c r="P54" s="2858"/>
      <c r="Q54" s="2859"/>
    </row>
    <row r="55" spans="2:17" s="2846" customFormat="1" ht="15.6">
      <c r="B55" s="2854">
        <v>30140</v>
      </c>
      <c r="C55" s="2818"/>
      <c r="D55" s="2855" t="s">
        <v>1421</v>
      </c>
      <c r="E55" s="2818"/>
      <c r="F55" s="1201"/>
      <c r="G55" s="1201">
        <v>0</v>
      </c>
      <c r="H55" s="1201"/>
      <c r="I55" s="1201">
        <v>0</v>
      </c>
      <c r="J55" s="1201"/>
      <c r="K55" s="1201">
        <v>0</v>
      </c>
      <c r="L55" s="1201"/>
      <c r="M55" s="1201">
        <f t="shared" si="0"/>
        <v>0</v>
      </c>
      <c r="N55" s="1201"/>
      <c r="O55" s="1201">
        <v>0</v>
      </c>
      <c r="P55" s="2858"/>
      <c r="Q55" s="2859"/>
    </row>
    <row r="56" spans="2:17" s="2846" customFormat="1" ht="15.6">
      <c r="B56" s="2854">
        <v>30141</v>
      </c>
      <c r="C56" s="2818"/>
      <c r="D56" s="2855" t="s">
        <v>1422</v>
      </c>
      <c r="E56" s="2818"/>
      <c r="F56" s="1201"/>
      <c r="G56" s="1201">
        <v>0</v>
      </c>
      <c r="H56" s="1201"/>
      <c r="I56" s="1201">
        <v>0</v>
      </c>
      <c r="J56" s="1201"/>
      <c r="K56" s="1201">
        <v>0</v>
      </c>
      <c r="L56" s="1201"/>
      <c r="M56" s="1201">
        <f t="shared" si="0"/>
        <v>0</v>
      </c>
      <c r="N56" s="1201"/>
      <c r="O56" s="1201">
        <v>0</v>
      </c>
      <c r="P56" s="2858"/>
      <c r="Q56" s="2859"/>
    </row>
    <row r="57" spans="2:17" s="2846" customFormat="1" ht="15.6">
      <c r="B57" s="2854">
        <v>30142</v>
      </c>
      <c r="C57" s="2818"/>
      <c r="D57" s="2855" t="s">
        <v>1423</v>
      </c>
      <c r="E57" s="2818"/>
      <c r="F57" s="1201"/>
      <c r="G57" s="1201">
        <v>0</v>
      </c>
      <c r="H57" s="1201"/>
      <c r="I57" s="1201">
        <v>0</v>
      </c>
      <c r="J57" s="1201"/>
      <c r="K57" s="1201">
        <v>0</v>
      </c>
      <c r="L57" s="1201"/>
      <c r="M57" s="1201">
        <f t="shared" si="0"/>
        <v>0</v>
      </c>
      <c r="N57" s="1201"/>
      <c r="O57" s="1201">
        <v>0</v>
      </c>
      <c r="P57" s="2858"/>
      <c r="Q57" s="2859"/>
    </row>
    <row r="58" spans="2:17" s="2846" customFormat="1" ht="15.6">
      <c r="B58" s="2854">
        <v>30143</v>
      </c>
      <c r="C58" s="2818"/>
      <c r="D58" s="2855" t="s">
        <v>1424</v>
      </c>
      <c r="E58" s="2818"/>
      <c r="F58" s="1201"/>
      <c r="G58" s="1201">
        <v>0</v>
      </c>
      <c r="H58" s="1201"/>
      <c r="I58" s="1201">
        <v>0</v>
      </c>
      <c r="J58" s="1201"/>
      <c r="K58" s="1201">
        <v>0</v>
      </c>
      <c r="L58" s="1201"/>
      <c r="M58" s="1201">
        <f t="shared" si="0"/>
        <v>0</v>
      </c>
      <c r="N58" s="1201"/>
      <c r="O58" s="1201">
        <v>0</v>
      </c>
      <c r="P58" s="2858"/>
      <c r="Q58" s="2859"/>
    </row>
    <row r="59" spans="2:17" s="2846" customFormat="1" ht="15.6">
      <c r="B59" s="2854">
        <v>30144</v>
      </c>
      <c r="C59" s="2818"/>
      <c r="D59" s="2855" t="s">
        <v>1425</v>
      </c>
      <c r="E59" s="2818"/>
      <c r="F59" s="1201"/>
      <c r="G59" s="1201">
        <v>0</v>
      </c>
      <c r="H59" s="1201"/>
      <c r="I59" s="1201">
        <v>0</v>
      </c>
      <c r="J59" s="1201"/>
      <c r="K59" s="1201">
        <v>0</v>
      </c>
      <c r="L59" s="1201"/>
      <c r="M59" s="1201">
        <f t="shared" si="0"/>
        <v>0</v>
      </c>
      <c r="N59" s="1201"/>
      <c r="O59" s="1201">
        <v>0</v>
      </c>
      <c r="P59" s="2858"/>
      <c r="Q59" s="2859"/>
    </row>
    <row r="60" spans="2:17" s="2846" customFormat="1" ht="15.6">
      <c r="B60" s="2854">
        <v>30145</v>
      </c>
      <c r="C60" s="2818"/>
      <c r="D60" s="2855" t="s">
        <v>1426</v>
      </c>
      <c r="E60" s="2818"/>
      <c r="F60" s="1201"/>
      <c r="G60" s="1201">
        <v>0</v>
      </c>
      <c r="H60" s="1201"/>
      <c r="I60" s="1201">
        <v>0</v>
      </c>
      <c r="J60" s="1201"/>
      <c r="K60" s="1201">
        <v>0</v>
      </c>
      <c r="L60" s="1201"/>
      <c r="M60" s="1201">
        <f t="shared" si="0"/>
        <v>0</v>
      </c>
      <c r="N60" s="1201"/>
      <c r="O60" s="1201">
        <v>0</v>
      </c>
      <c r="P60" s="2858"/>
      <c r="Q60" s="2859"/>
    </row>
    <row r="61" spans="2:17" s="2846" customFormat="1" ht="15.6">
      <c r="B61" s="2854">
        <v>30146</v>
      </c>
      <c r="C61" s="2818"/>
      <c r="D61" s="2855" t="s">
        <v>1427</v>
      </c>
      <c r="E61" s="2818"/>
      <c r="F61" s="1201"/>
      <c r="G61" s="1201">
        <v>0</v>
      </c>
      <c r="H61" s="1201"/>
      <c r="I61" s="1201">
        <v>0</v>
      </c>
      <c r="J61" s="1201"/>
      <c r="K61" s="1201">
        <v>0</v>
      </c>
      <c r="L61" s="1201"/>
      <c r="M61" s="1201">
        <f t="shared" si="0"/>
        <v>0</v>
      </c>
      <c r="N61" s="1201"/>
      <c r="O61" s="1201">
        <v>0</v>
      </c>
      <c r="P61" s="2858"/>
      <c r="Q61" s="2859"/>
    </row>
    <row r="62" spans="2:17" s="2846" customFormat="1" ht="15.6">
      <c r="B62" s="2854">
        <v>30147</v>
      </c>
      <c r="C62" s="2818"/>
      <c r="D62" s="2855" t="s">
        <v>564</v>
      </c>
      <c r="E62" s="2818"/>
      <c r="F62" s="1201">
        <v>0</v>
      </c>
      <c r="G62" s="1201">
        <v>0</v>
      </c>
      <c r="H62" s="1201"/>
      <c r="I62" s="1201">
        <v>0</v>
      </c>
      <c r="J62" s="1201"/>
      <c r="K62" s="1201">
        <v>0</v>
      </c>
      <c r="L62" s="1201"/>
      <c r="M62" s="1201">
        <f t="shared" ref="M62:M75" si="1">ROUND(SUM(O62)-SUM(K62),2)</f>
        <v>0</v>
      </c>
      <c r="N62" s="1201"/>
      <c r="O62" s="1201">
        <v>0</v>
      </c>
      <c r="P62" s="2866"/>
      <c r="Q62" s="2859"/>
    </row>
    <row r="63" spans="2:17" s="2846" customFormat="1" ht="15.6">
      <c r="B63" s="2854">
        <v>30148</v>
      </c>
      <c r="C63" s="2818"/>
      <c r="D63" s="2855" t="s">
        <v>1429</v>
      </c>
      <c r="E63" s="2818"/>
      <c r="F63" s="1201"/>
      <c r="G63" s="1201">
        <v>0</v>
      </c>
      <c r="H63" s="1201"/>
      <c r="I63" s="1201">
        <v>0</v>
      </c>
      <c r="J63" s="1201"/>
      <c r="K63" s="1201">
        <v>0</v>
      </c>
      <c r="L63" s="1201"/>
      <c r="M63" s="1201">
        <f t="shared" ref="M63:M69" si="2">ROUND(SUM(O63)-SUM(K63),2)</f>
        <v>0</v>
      </c>
      <c r="N63" s="1201"/>
      <c r="O63" s="1201">
        <v>0</v>
      </c>
      <c r="P63" s="2866"/>
      <c r="Q63" s="2859"/>
    </row>
    <row r="64" spans="2:17" s="2846" customFormat="1" ht="15.6">
      <c r="B64" s="2854">
        <v>30149</v>
      </c>
      <c r="C64" s="2818"/>
      <c r="D64" s="2855" t="s">
        <v>1430</v>
      </c>
      <c r="E64" s="2818"/>
      <c r="F64" s="1201"/>
      <c r="G64" s="1201">
        <v>0</v>
      </c>
      <c r="H64" s="1201"/>
      <c r="I64" s="1201">
        <v>0</v>
      </c>
      <c r="J64" s="1201"/>
      <c r="K64" s="1201">
        <v>0</v>
      </c>
      <c r="L64" s="1201"/>
      <c r="M64" s="1201">
        <f t="shared" si="2"/>
        <v>0</v>
      </c>
      <c r="N64" s="1201"/>
      <c r="O64" s="1201">
        <v>0</v>
      </c>
      <c r="P64" s="2866"/>
      <c r="Q64" s="2859"/>
    </row>
    <row r="65" spans="2:17" s="2846" customFormat="1" ht="15.6">
      <c r="B65" s="2854">
        <v>30150</v>
      </c>
      <c r="C65" s="2818"/>
      <c r="D65" s="2855" t="s">
        <v>1431</v>
      </c>
      <c r="E65" s="2818"/>
      <c r="F65" s="1201"/>
      <c r="G65" s="1201">
        <v>0</v>
      </c>
      <c r="H65" s="1201"/>
      <c r="I65" s="1201">
        <v>0</v>
      </c>
      <c r="J65" s="1201"/>
      <c r="K65" s="1201">
        <v>0</v>
      </c>
      <c r="L65" s="1201"/>
      <c r="M65" s="1201">
        <f t="shared" si="2"/>
        <v>0</v>
      </c>
      <c r="N65" s="1201"/>
      <c r="O65" s="1201">
        <v>0</v>
      </c>
      <c r="P65" s="2866"/>
      <c r="Q65" s="2859"/>
    </row>
    <row r="66" spans="2:17" s="2846" customFormat="1" ht="15.6">
      <c r="B66" s="2854">
        <v>30151</v>
      </c>
      <c r="C66" s="2818"/>
      <c r="D66" s="2855" t="s">
        <v>1432</v>
      </c>
      <c r="E66" s="2818"/>
      <c r="F66" s="1201"/>
      <c r="G66" s="1201">
        <v>0</v>
      </c>
      <c r="H66" s="1201"/>
      <c r="I66" s="1201">
        <v>0</v>
      </c>
      <c r="J66" s="1201"/>
      <c r="K66" s="1201">
        <v>0</v>
      </c>
      <c r="L66" s="1201"/>
      <c r="M66" s="1201">
        <f t="shared" si="2"/>
        <v>0</v>
      </c>
      <c r="N66" s="1201"/>
      <c r="O66" s="1201">
        <v>0</v>
      </c>
      <c r="P66" s="2866"/>
      <c r="Q66" s="2859"/>
    </row>
    <row r="67" spans="2:17" s="2846" customFormat="1" ht="15.6">
      <c r="B67" s="2854">
        <v>30152</v>
      </c>
      <c r="C67" s="2818"/>
      <c r="D67" s="2855" t="s">
        <v>1433</v>
      </c>
      <c r="E67" s="2818"/>
      <c r="F67" s="1201"/>
      <c r="G67" s="1201">
        <v>0</v>
      </c>
      <c r="H67" s="1201"/>
      <c r="I67" s="1201">
        <v>0</v>
      </c>
      <c r="J67" s="1201"/>
      <c r="K67" s="1201">
        <v>0</v>
      </c>
      <c r="L67" s="1201"/>
      <c r="M67" s="1201">
        <f t="shared" si="2"/>
        <v>0</v>
      </c>
      <c r="N67" s="1201"/>
      <c r="O67" s="1201">
        <v>0</v>
      </c>
      <c r="P67" s="2866"/>
      <c r="Q67" s="2859"/>
    </row>
    <row r="68" spans="2:17" s="2846" customFormat="1" ht="15.6">
      <c r="B68" s="2854">
        <v>30153</v>
      </c>
      <c r="C68" s="2818"/>
      <c r="D68" s="2855" t="s">
        <v>1434</v>
      </c>
      <c r="E68" s="2818"/>
      <c r="F68" s="1201"/>
      <c r="G68" s="1201">
        <v>0</v>
      </c>
      <c r="H68" s="1201"/>
      <c r="I68" s="1201">
        <v>0</v>
      </c>
      <c r="J68" s="1201"/>
      <c r="K68" s="1201">
        <v>0</v>
      </c>
      <c r="L68" s="1201"/>
      <c r="M68" s="1201">
        <f t="shared" si="2"/>
        <v>0</v>
      </c>
      <c r="N68" s="1201"/>
      <c r="O68" s="1201">
        <v>0</v>
      </c>
      <c r="P68" s="2866"/>
      <c r="Q68" s="2859"/>
    </row>
    <row r="69" spans="2:17" s="2846" customFormat="1" ht="15.6">
      <c r="B69" s="2854">
        <v>30154</v>
      </c>
      <c r="C69" s="2818"/>
      <c r="D69" s="2855" t="s">
        <v>1435</v>
      </c>
      <c r="E69" s="2818"/>
      <c r="F69" s="1201"/>
      <c r="G69" s="1201">
        <v>0</v>
      </c>
      <c r="H69" s="1201"/>
      <c r="I69" s="1201">
        <v>0</v>
      </c>
      <c r="J69" s="1201"/>
      <c r="K69" s="1201">
        <v>0</v>
      </c>
      <c r="L69" s="1201"/>
      <c r="M69" s="1201">
        <f t="shared" si="2"/>
        <v>0</v>
      </c>
      <c r="N69" s="1201"/>
      <c r="O69" s="1201">
        <v>0</v>
      </c>
      <c r="P69" s="2866"/>
      <c r="Q69" s="2859"/>
    </row>
    <row r="70" spans="2:17" s="2846" customFormat="1" ht="15.6">
      <c r="B70" s="2854">
        <v>30351</v>
      </c>
      <c r="C70" s="2818"/>
      <c r="D70" s="2855" t="s">
        <v>565</v>
      </c>
      <c r="E70" s="2818"/>
      <c r="F70" s="1201">
        <v>72792259.140000001</v>
      </c>
      <c r="G70" s="1201">
        <v>92721949.379999995</v>
      </c>
      <c r="H70" s="1201"/>
      <c r="I70" s="1201">
        <v>98297010.659999996</v>
      </c>
      <c r="J70" s="1201"/>
      <c r="K70" s="1201">
        <v>30372688.77</v>
      </c>
      <c r="L70" s="1201"/>
      <c r="M70" s="1201">
        <f t="shared" si="1"/>
        <v>8250345.4900000002</v>
      </c>
      <c r="N70" s="1201"/>
      <c r="O70" s="1201">
        <v>38623034.259999998</v>
      </c>
      <c r="P70" s="2866"/>
      <c r="Q70" s="2859"/>
    </row>
    <row r="71" spans="2:17" s="2846" customFormat="1" ht="15.6">
      <c r="B71" s="2854">
        <v>30501</v>
      </c>
      <c r="C71" s="2818"/>
      <c r="D71" s="2855" t="s">
        <v>1436</v>
      </c>
      <c r="E71" s="2818"/>
      <c r="F71" s="1201"/>
      <c r="G71" s="1201">
        <v>0</v>
      </c>
      <c r="H71" s="1201"/>
      <c r="I71" s="1201">
        <v>0</v>
      </c>
      <c r="J71" s="1201"/>
      <c r="K71" s="1201">
        <v>0</v>
      </c>
      <c r="L71" s="1201"/>
      <c r="M71" s="1201">
        <f>ROUND(SUM(O71)-SUM(K71),2)</f>
        <v>0</v>
      </c>
      <c r="N71" s="1201"/>
      <c r="O71" s="1201">
        <v>0</v>
      </c>
      <c r="P71" s="2866"/>
      <c r="Q71" s="2859"/>
    </row>
    <row r="72" spans="2:17" s="2846" customFormat="1" ht="15.6">
      <c r="B72" s="2854">
        <v>30502</v>
      </c>
      <c r="C72" s="2818"/>
      <c r="D72" s="2855" t="s">
        <v>1437</v>
      </c>
      <c r="E72" s="2818"/>
      <c r="F72" s="1201"/>
      <c r="G72" s="1201">
        <v>0</v>
      </c>
      <c r="H72" s="1201"/>
      <c r="I72" s="1201">
        <v>0</v>
      </c>
      <c r="J72" s="1201"/>
      <c r="K72" s="1201">
        <v>0</v>
      </c>
      <c r="L72" s="1201"/>
      <c r="M72" s="1201">
        <f>ROUND(SUM(O72)-SUM(K72),2)</f>
        <v>0</v>
      </c>
      <c r="N72" s="1201"/>
      <c r="O72" s="1201">
        <v>0</v>
      </c>
      <c r="P72" s="2866"/>
      <c r="Q72" s="2859"/>
    </row>
    <row r="73" spans="2:17" s="2846" customFormat="1" ht="15.6">
      <c r="B73" s="2854">
        <v>30503</v>
      </c>
      <c r="C73" s="2818"/>
      <c r="D73" s="2855" t="s">
        <v>1438</v>
      </c>
      <c r="E73" s="2818"/>
      <c r="F73" s="1201"/>
      <c r="G73" s="1201">
        <v>0</v>
      </c>
      <c r="H73" s="1201"/>
      <c r="I73" s="1201">
        <v>0</v>
      </c>
      <c r="J73" s="1201"/>
      <c r="K73" s="1201">
        <v>0</v>
      </c>
      <c r="L73" s="1201"/>
      <c r="M73" s="1201">
        <f>ROUND(SUM(O73)-SUM(K73),2)</f>
        <v>0</v>
      </c>
      <c r="N73" s="1201"/>
      <c r="O73" s="1201">
        <v>0</v>
      </c>
      <c r="P73" s="2866"/>
      <c r="Q73" s="2859"/>
    </row>
    <row r="74" spans="2:17" s="2846" customFormat="1" ht="15.6">
      <c r="B74" s="2854">
        <v>30504</v>
      </c>
      <c r="C74" s="2818"/>
      <c r="D74" s="2855" t="s">
        <v>1439</v>
      </c>
      <c r="E74" s="2818"/>
      <c r="F74" s="1201"/>
      <c r="G74" s="1201">
        <v>0</v>
      </c>
      <c r="H74" s="1201"/>
      <c r="I74" s="1201">
        <v>0</v>
      </c>
      <c r="J74" s="1201"/>
      <c r="K74" s="1201">
        <v>0</v>
      </c>
      <c r="L74" s="1201"/>
      <c r="M74" s="1201">
        <f>ROUND(SUM(O74)-SUM(K74),2)</f>
        <v>0</v>
      </c>
      <c r="N74" s="1201"/>
      <c r="O74" s="1201">
        <v>0</v>
      </c>
      <c r="P74" s="2866"/>
      <c r="Q74" s="2859"/>
    </row>
    <row r="75" spans="2:17" s="2846" customFormat="1" ht="15.6">
      <c r="B75" s="2854">
        <v>31506</v>
      </c>
      <c r="C75" s="2868"/>
      <c r="D75" s="2869" t="s">
        <v>566</v>
      </c>
      <c r="E75" s="2870"/>
      <c r="F75" s="1201">
        <v>109849194.79000001</v>
      </c>
      <c r="G75" s="1201">
        <v>137607616.16999999</v>
      </c>
      <c r="H75" s="1201"/>
      <c r="I75" s="1201">
        <v>146820839.97</v>
      </c>
      <c r="J75" s="1201"/>
      <c r="K75" s="1201">
        <v>126962739.31</v>
      </c>
      <c r="L75" s="1201"/>
      <c r="M75" s="1201">
        <f t="shared" si="1"/>
        <v>568638.68000000005</v>
      </c>
      <c r="N75" s="1201"/>
      <c r="O75" s="1201">
        <v>127531377.98999999</v>
      </c>
      <c r="P75" s="2866"/>
      <c r="Q75" s="2859"/>
    </row>
    <row r="76" spans="2:17" s="2846" customFormat="1" ht="15.6">
      <c r="B76" s="2854">
        <v>31701</v>
      </c>
      <c r="C76" s="2818"/>
      <c r="D76" s="2855" t="s">
        <v>567</v>
      </c>
      <c r="E76" s="2818"/>
      <c r="F76" s="1201">
        <v>7423246.6200000001</v>
      </c>
      <c r="G76" s="1201">
        <v>11606139.220000001</v>
      </c>
      <c r="H76" s="1201"/>
      <c r="I76" s="1201">
        <v>13144259.09</v>
      </c>
      <c r="J76" s="1201"/>
      <c r="K76" s="1201">
        <v>14021084.15</v>
      </c>
      <c r="L76" s="1201"/>
      <c r="M76" s="1201">
        <f t="shared" ref="M76:M83" si="3">ROUND(SUM(O76)-SUM(K76),2)</f>
        <v>1204376.83</v>
      </c>
      <c r="N76" s="1201"/>
      <c r="O76" s="1201">
        <v>15225460.98</v>
      </c>
      <c r="P76" s="2866"/>
      <c r="Q76" s="2859"/>
    </row>
    <row r="77" spans="2:17" s="2846" customFormat="1" ht="15.6">
      <c r="B77" s="2854">
        <v>31801</v>
      </c>
      <c r="C77" s="2818"/>
      <c r="D77" s="2855" t="s">
        <v>568</v>
      </c>
      <c r="E77" s="2818"/>
      <c r="F77" s="1201">
        <v>13150846.050000001</v>
      </c>
      <c r="G77" s="1201">
        <v>12941967.060000001</v>
      </c>
      <c r="H77" s="1201"/>
      <c r="I77" s="1201">
        <v>12941967.060000001</v>
      </c>
      <c r="J77" s="1201"/>
      <c r="K77" s="1201">
        <v>12941967.060000001</v>
      </c>
      <c r="L77" s="1201"/>
      <c r="M77" s="1201">
        <f t="shared" si="3"/>
        <v>0</v>
      </c>
      <c r="N77" s="1201"/>
      <c r="O77" s="1201">
        <v>12941967.060000001</v>
      </c>
      <c r="P77" s="2866"/>
      <c r="Q77" s="2859"/>
    </row>
    <row r="78" spans="2:17" s="2846" customFormat="1" ht="15.6">
      <c r="B78" s="2854">
        <v>31851</v>
      </c>
      <c r="C78" s="2818"/>
      <c r="D78" s="2867" t="s">
        <v>569</v>
      </c>
      <c r="E78" s="2818"/>
      <c r="F78" s="1201">
        <v>0</v>
      </c>
      <c r="G78" s="1201">
        <v>146776048.12</v>
      </c>
      <c r="H78" s="1201"/>
      <c r="I78" s="1201">
        <v>164211671.12</v>
      </c>
      <c r="J78" s="1201"/>
      <c r="K78" s="1201">
        <v>276741915.12</v>
      </c>
      <c r="L78" s="1201"/>
      <c r="M78" s="1201">
        <f t="shared" si="3"/>
        <v>200000</v>
      </c>
      <c r="N78" s="1201"/>
      <c r="O78" s="1201">
        <v>276941915.12</v>
      </c>
      <c r="P78" s="2866"/>
      <c r="Q78" s="2859"/>
    </row>
    <row r="79" spans="2:17" s="2846" customFormat="1" ht="15.6">
      <c r="B79" s="2854">
        <v>31852</v>
      </c>
      <c r="C79" s="2818"/>
      <c r="D79" s="2855" t="s">
        <v>570</v>
      </c>
      <c r="E79" s="2818"/>
      <c r="F79" s="1201">
        <v>40679225.310000002</v>
      </c>
      <c r="G79" s="1201">
        <v>34235540.850000001</v>
      </c>
      <c r="H79" s="1201"/>
      <c r="I79" s="1201">
        <v>35747601.850000001</v>
      </c>
      <c r="J79" s="1201"/>
      <c r="K79" s="1201">
        <v>40013250.850000001</v>
      </c>
      <c r="L79" s="1201"/>
      <c r="M79" s="1201">
        <f t="shared" si="3"/>
        <v>0</v>
      </c>
      <c r="N79" s="1201"/>
      <c r="O79" s="1201">
        <v>40013250.850000001</v>
      </c>
      <c r="P79" s="2866"/>
      <c r="Q79" s="2859"/>
    </row>
    <row r="80" spans="2:17" s="2846" customFormat="1" ht="15.6">
      <c r="B80" s="2854">
        <v>31853</v>
      </c>
      <c r="C80" s="2818"/>
      <c r="D80" s="2867" t="s">
        <v>571</v>
      </c>
      <c r="E80" s="2818"/>
      <c r="F80" s="1201">
        <v>76297899.909999996</v>
      </c>
      <c r="G80" s="1201">
        <v>104730710.25</v>
      </c>
      <c r="H80" s="1201"/>
      <c r="I80" s="1201">
        <v>104730710.25</v>
      </c>
      <c r="J80" s="1201"/>
      <c r="K80" s="1201">
        <v>126730710.25</v>
      </c>
      <c r="L80" s="1201"/>
      <c r="M80" s="1201">
        <f t="shared" si="3"/>
        <v>0</v>
      </c>
      <c r="N80" s="1201"/>
      <c r="O80" s="1201">
        <v>126730710.25</v>
      </c>
      <c r="P80" s="2866"/>
      <c r="Q80" s="2859"/>
    </row>
    <row r="81" spans="2:17" s="2846" customFormat="1" ht="15.6">
      <c r="B81" s="2854">
        <v>31854</v>
      </c>
      <c r="C81" s="2818"/>
      <c r="D81" s="2867" t="s">
        <v>1440</v>
      </c>
      <c r="E81" s="2818"/>
      <c r="F81" s="1201"/>
      <c r="G81" s="1201">
        <v>0</v>
      </c>
      <c r="H81" s="1201"/>
      <c r="I81" s="1201">
        <v>0</v>
      </c>
      <c r="J81" s="1201"/>
      <c r="K81" s="1201">
        <v>0</v>
      </c>
      <c r="L81" s="1201"/>
      <c r="M81" s="1201">
        <f t="shared" ref="M81" si="4">ROUND(SUM(O81)-SUM(K81),2)</f>
        <v>0</v>
      </c>
      <c r="N81" s="1201"/>
      <c r="O81" s="1201">
        <v>0</v>
      </c>
      <c r="P81" s="2866"/>
      <c r="Q81" s="2859"/>
    </row>
    <row r="82" spans="2:17" s="2846" customFormat="1" ht="15.6">
      <c r="B82" s="2854">
        <v>31951</v>
      </c>
      <c r="C82" s="2818"/>
      <c r="D82" s="2867" t="s">
        <v>572</v>
      </c>
      <c r="E82" s="2818"/>
      <c r="F82" s="1201">
        <v>12348115.710000001</v>
      </c>
      <c r="G82" s="1201">
        <v>11951597.85</v>
      </c>
      <c r="H82" s="1201"/>
      <c r="I82" s="1201">
        <v>11951597.85</v>
      </c>
      <c r="J82" s="1201"/>
      <c r="K82" s="1201">
        <v>11951597.85</v>
      </c>
      <c r="L82" s="1201"/>
      <c r="M82" s="1201">
        <f t="shared" si="3"/>
        <v>0</v>
      </c>
      <c r="N82" s="1201"/>
      <c r="O82" s="1201">
        <v>11951597.85</v>
      </c>
      <c r="P82" s="2866"/>
      <c r="Q82" s="2859"/>
    </row>
    <row r="83" spans="2:17" s="2846" customFormat="1" ht="15.6">
      <c r="B83" s="2854">
        <v>32213</v>
      </c>
      <c r="C83" s="2818"/>
      <c r="D83" s="2855" t="s">
        <v>573</v>
      </c>
      <c r="E83" s="2818"/>
      <c r="F83" s="1201">
        <v>153750</v>
      </c>
      <c r="G83" s="1201">
        <v>153750</v>
      </c>
      <c r="H83" s="1201"/>
      <c r="I83" s="1201">
        <v>153750</v>
      </c>
      <c r="J83" s="1201"/>
      <c r="K83" s="1201">
        <v>153750</v>
      </c>
      <c r="L83" s="1201"/>
      <c r="M83" s="1201">
        <f t="shared" si="3"/>
        <v>0</v>
      </c>
      <c r="N83" s="1201"/>
      <c r="O83" s="1201">
        <v>153750</v>
      </c>
      <c r="P83" s="2866"/>
      <c r="Q83" s="2859"/>
    </row>
    <row r="84" spans="2:17" s="2846" customFormat="1" ht="15.6">
      <c r="B84" s="2854">
        <v>32214</v>
      </c>
      <c r="C84" s="2818"/>
      <c r="D84" s="2855" t="s">
        <v>1172</v>
      </c>
      <c r="E84" s="2818"/>
      <c r="F84" s="1201"/>
      <c r="G84" s="1201">
        <v>0</v>
      </c>
      <c r="H84" s="1201"/>
      <c r="I84" s="1201">
        <v>0</v>
      </c>
      <c r="J84" s="1201"/>
      <c r="K84" s="1201">
        <v>0</v>
      </c>
      <c r="L84" s="1201"/>
      <c r="M84" s="1201">
        <f t="shared" ref="M84" si="5">ROUND(SUM(O84)-SUM(K84),2)</f>
        <v>0</v>
      </c>
      <c r="N84" s="1201"/>
      <c r="O84" s="1201">
        <v>0</v>
      </c>
      <c r="P84" s="2866"/>
      <c r="Q84" s="2859"/>
    </row>
    <row r="85" spans="2:17" s="2846" customFormat="1" ht="15.6">
      <c r="B85" s="2854">
        <v>32215</v>
      </c>
      <c r="C85" s="2818"/>
      <c r="D85" s="2855" t="s">
        <v>1148</v>
      </c>
      <c r="E85" s="2818"/>
      <c r="F85" s="1201"/>
      <c r="G85" s="1201">
        <v>7907375.4000000004</v>
      </c>
      <c r="H85" s="1201"/>
      <c r="I85" s="1201">
        <v>8203064.7400000002</v>
      </c>
      <c r="J85" s="1201"/>
      <c r="K85" s="1201">
        <v>8409446.9800000004</v>
      </c>
      <c r="L85" s="1201"/>
      <c r="M85" s="1201">
        <f>ROUND(SUM(O85)-SUM(K85),2)</f>
        <v>-7537806.0999999996</v>
      </c>
      <c r="N85" s="1201"/>
      <c r="O85" s="1201">
        <v>871640.88</v>
      </c>
      <c r="P85" s="2866"/>
      <c r="Q85" s="2859"/>
    </row>
    <row r="86" spans="2:17" s="2846" customFormat="1" ht="15.6">
      <c r="B86" s="2854">
        <v>32219</v>
      </c>
      <c r="C86" s="2818"/>
      <c r="D86" s="2855" t="s">
        <v>1201</v>
      </c>
      <c r="E86" s="2818"/>
      <c r="F86" s="1201"/>
      <c r="G86" s="1201">
        <v>0</v>
      </c>
      <c r="H86" s="1201"/>
      <c r="I86" s="1201">
        <v>0</v>
      </c>
      <c r="J86" s="1201"/>
      <c r="K86" s="1201">
        <v>0</v>
      </c>
      <c r="L86" s="1201"/>
      <c r="M86" s="1201">
        <f>ROUND(SUM(O86)-SUM(K86),2)</f>
        <v>0</v>
      </c>
      <c r="N86" s="1201"/>
      <c r="O86" s="1201">
        <v>0</v>
      </c>
      <c r="P86" s="2866"/>
      <c r="Q86" s="2859"/>
    </row>
    <row r="87" spans="2:17" s="2846" customFormat="1" ht="15.6">
      <c r="B87" s="2854">
        <v>32301</v>
      </c>
      <c r="C87" s="2818"/>
      <c r="D87" s="2855" t="s">
        <v>1441</v>
      </c>
      <c r="E87" s="2818"/>
      <c r="F87" s="1201"/>
      <c r="G87" s="1201">
        <v>0</v>
      </c>
      <c r="H87" s="1201"/>
      <c r="I87" s="1201">
        <v>0</v>
      </c>
      <c r="J87" s="1201"/>
      <c r="K87" s="1201">
        <v>0</v>
      </c>
      <c r="L87" s="1201"/>
      <c r="M87" s="1201">
        <f t="shared" ref="M87:M88" si="6">ROUND(SUM(O87)-SUM(K87),2)</f>
        <v>0</v>
      </c>
      <c r="N87" s="1201"/>
      <c r="O87" s="1201">
        <v>0</v>
      </c>
      <c r="P87" s="2866"/>
      <c r="Q87" s="2859"/>
    </row>
    <row r="88" spans="2:17" s="2846" customFormat="1" ht="15.6">
      <c r="B88" s="2854">
        <v>32302</v>
      </c>
      <c r="C88" s="2818"/>
      <c r="D88" s="2855" t="s">
        <v>1442</v>
      </c>
      <c r="E88" s="2818"/>
      <c r="F88" s="1201"/>
      <c r="G88" s="1201">
        <v>0</v>
      </c>
      <c r="H88" s="1201"/>
      <c r="I88" s="1201">
        <v>0</v>
      </c>
      <c r="J88" s="1201"/>
      <c r="K88" s="1201">
        <v>0</v>
      </c>
      <c r="L88" s="1201"/>
      <c r="M88" s="1201">
        <f t="shared" si="6"/>
        <v>0</v>
      </c>
      <c r="N88" s="1201"/>
      <c r="O88" s="1201">
        <v>0</v>
      </c>
      <c r="P88" s="2866"/>
      <c r="Q88" s="2859"/>
    </row>
    <row r="89" spans="2:17" s="2846" customFormat="1" ht="15.6">
      <c r="B89" s="2854">
        <v>32303</v>
      </c>
      <c r="C89" s="2818"/>
      <c r="D89" s="2855" t="s">
        <v>574</v>
      </c>
      <c r="E89" s="2870"/>
      <c r="F89" s="1201">
        <v>87723047.260000005</v>
      </c>
      <c r="G89" s="1201">
        <v>76749289.140000001</v>
      </c>
      <c r="H89" s="1201"/>
      <c r="I89" s="1201">
        <v>77796107.430000007</v>
      </c>
      <c r="J89" s="1201"/>
      <c r="K89" s="1201">
        <v>80298236.150000006</v>
      </c>
      <c r="L89" s="1201"/>
      <c r="M89" s="1201">
        <f>ROUND(SUM(O89)-SUM(K89),2)</f>
        <v>3108880.6</v>
      </c>
      <c r="N89" s="1201"/>
      <c r="O89" s="1201">
        <v>83407116.75</v>
      </c>
      <c r="P89" s="2866"/>
      <c r="Q89" s="2859"/>
    </row>
    <row r="90" spans="2:17" s="2846" customFormat="1" ht="15.6">
      <c r="B90" s="2854">
        <v>32304</v>
      </c>
      <c r="C90" s="2818"/>
      <c r="D90" s="2855" t="s">
        <v>1443</v>
      </c>
      <c r="E90" s="2870"/>
      <c r="F90" s="1201"/>
      <c r="G90" s="1201">
        <v>0</v>
      </c>
      <c r="H90" s="1201"/>
      <c r="I90" s="1201">
        <v>0</v>
      </c>
      <c r="J90" s="1201"/>
      <c r="K90" s="1201">
        <v>0</v>
      </c>
      <c r="L90" s="1201"/>
      <c r="M90" s="1201">
        <f>ROUND(SUM(O90)-SUM(K90),2)</f>
        <v>0</v>
      </c>
      <c r="N90" s="1201"/>
      <c r="O90" s="1201">
        <v>0</v>
      </c>
      <c r="P90" s="2866"/>
      <c r="Q90" s="2859"/>
    </row>
    <row r="91" spans="2:17" s="2846" customFormat="1" ht="15.6">
      <c r="B91" s="2854">
        <v>32305</v>
      </c>
      <c r="C91" s="2818"/>
      <c r="D91" s="2855" t="s">
        <v>923</v>
      </c>
      <c r="E91" s="2870"/>
      <c r="F91" s="1201">
        <v>172362230.61000001</v>
      </c>
      <c r="G91" s="1201">
        <v>187954499.77000001</v>
      </c>
      <c r="H91" s="1201"/>
      <c r="I91" s="1201">
        <v>189059165.24000001</v>
      </c>
      <c r="J91" s="1201"/>
      <c r="K91" s="1201">
        <v>191795526.81</v>
      </c>
      <c r="L91" s="1201"/>
      <c r="M91" s="1201">
        <f t="shared" ref="M91:M101" si="7">ROUND(SUM(O91)-SUM(K91),2)</f>
        <v>1010000</v>
      </c>
      <c r="N91" s="1201"/>
      <c r="O91" s="1201">
        <v>192805526.81</v>
      </c>
      <c r="P91" s="2866"/>
      <c r="Q91" s="2859"/>
    </row>
    <row r="92" spans="2:17" s="2846" customFormat="1" ht="15.6">
      <c r="B92" s="2854">
        <v>32306</v>
      </c>
      <c r="C92" s="2818"/>
      <c r="D92" s="2855" t="s">
        <v>1444</v>
      </c>
      <c r="E92" s="2870"/>
      <c r="F92" s="1201"/>
      <c r="G92" s="1201">
        <v>0</v>
      </c>
      <c r="H92" s="1201"/>
      <c r="I92" s="1201">
        <v>0</v>
      </c>
      <c r="J92" s="1201"/>
      <c r="K92" s="1201">
        <v>0</v>
      </c>
      <c r="L92" s="1201"/>
      <c r="M92" s="1201">
        <f t="shared" ref="M92" si="8">ROUND(SUM(O92)-SUM(K92),2)</f>
        <v>0</v>
      </c>
      <c r="N92" s="1201"/>
      <c r="O92" s="1201">
        <v>0</v>
      </c>
      <c r="P92" s="2866"/>
      <c r="Q92" s="2859"/>
    </row>
    <row r="93" spans="2:17" s="2846" customFormat="1" ht="15.6">
      <c r="B93" s="2854">
        <v>32307</v>
      </c>
      <c r="C93" s="2818"/>
      <c r="D93" s="2867" t="s">
        <v>575</v>
      </c>
      <c r="E93" s="2870"/>
      <c r="F93" s="1201">
        <v>5430710.0300000003</v>
      </c>
      <c r="G93" s="1201">
        <v>10359802.32</v>
      </c>
      <c r="H93" s="1201"/>
      <c r="I93" s="1201">
        <v>10359802.32</v>
      </c>
      <c r="J93" s="1201"/>
      <c r="K93" s="1201">
        <v>10359802.32</v>
      </c>
      <c r="L93" s="1201"/>
      <c r="M93" s="1201">
        <f t="shared" si="7"/>
        <v>0</v>
      </c>
      <c r="N93" s="1201"/>
      <c r="O93" s="1201">
        <v>10359802.32</v>
      </c>
      <c r="P93" s="2866"/>
      <c r="Q93" s="2859"/>
    </row>
    <row r="94" spans="2:17" s="2846" customFormat="1" ht="15.6">
      <c r="B94" s="2854">
        <v>32308</v>
      </c>
      <c r="C94" s="2818"/>
      <c r="D94" s="2867" t="s">
        <v>576</v>
      </c>
      <c r="E94" s="2870"/>
      <c r="F94" s="1201">
        <v>539890.44999999995</v>
      </c>
      <c r="G94" s="1201">
        <v>2694963.09</v>
      </c>
      <c r="H94" s="1201"/>
      <c r="I94" s="1201">
        <v>2694963.09</v>
      </c>
      <c r="J94" s="1201"/>
      <c r="K94" s="1201">
        <v>2694963.09</v>
      </c>
      <c r="L94" s="1201"/>
      <c r="M94" s="1201">
        <f t="shared" si="7"/>
        <v>0</v>
      </c>
      <c r="N94" s="1201"/>
      <c r="O94" s="1201">
        <v>2694963.09</v>
      </c>
      <c r="P94" s="2866"/>
      <c r="Q94" s="2859"/>
    </row>
    <row r="95" spans="2:17" s="2846" customFormat="1" ht="15.6">
      <c r="B95" s="2854">
        <v>32309</v>
      </c>
      <c r="C95" s="2818"/>
      <c r="D95" s="2867" t="s">
        <v>577</v>
      </c>
      <c r="E95" s="2870"/>
      <c r="F95" s="1201">
        <v>104401100.42</v>
      </c>
      <c r="G95" s="1201">
        <v>149234367.68000001</v>
      </c>
      <c r="H95" s="1201"/>
      <c r="I95" s="1201">
        <v>161899042.03</v>
      </c>
      <c r="J95" s="1201"/>
      <c r="K95" s="1201">
        <v>179148757.59</v>
      </c>
      <c r="L95" s="1201"/>
      <c r="M95" s="1201">
        <f t="shared" si="7"/>
        <v>5550607.2400000002</v>
      </c>
      <c r="N95" s="1201"/>
      <c r="O95" s="1201">
        <v>184699364.83000001</v>
      </c>
      <c r="P95" s="2866"/>
      <c r="Q95" s="2859"/>
    </row>
    <row r="96" spans="2:17" s="2846" customFormat="1" ht="15.6">
      <c r="B96" s="2854">
        <v>32310</v>
      </c>
      <c r="C96" s="2818"/>
      <c r="D96" s="2867" t="s">
        <v>578</v>
      </c>
      <c r="E96" s="2870"/>
      <c r="F96" s="1201">
        <v>0</v>
      </c>
      <c r="G96" s="1201">
        <v>40143820.329999998</v>
      </c>
      <c r="H96" s="1201"/>
      <c r="I96" s="1201">
        <v>40143820.329999998</v>
      </c>
      <c r="J96" s="1201"/>
      <c r="K96" s="1201">
        <v>46728883.159999996</v>
      </c>
      <c r="L96" s="1201"/>
      <c r="M96" s="1201">
        <f t="shared" si="7"/>
        <v>0</v>
      </c>
      <c r="N96" s="1201"/>
      <c r="O96" s="1201">
        <v>46728883.159999996</v>
      </c>
      <c r="P96" s="2866"/>
      <c r="Q96" s="2859"/>
    </row>
    <row r="97" spans="2:17" s="2846" customFormat="1" ht="15.6">
      <c r="B97" s="2854">
        <v>32311</v>
      </c>
      <c r="C97" s="2818"/>
      <c r="D97" s="3807" t="s">
        <v>579</v>
      </c>
      <c r="E97" s="2870"/>
      <c r="F97" s="1201">
        <v>2486315.4700000002</v>
      </c>
      <c r="G97" s="1201">
        <v>3707368.73</v>
      </c>
      <c r="H97" s="1201"/>
      <c r="I97" s="1201">
        <v>3707368.73</v>
      </c>
      <c r="J97" s="1201"/>
      <c r="K97" s="1201">
        <v>4128130.13</v>
      </c>
      <c r="L97" s="1201"/>
      <c r="M97" s="1201">
        <f t="shared" si="7"/>
        <v>0</v>
      </c>
      <c r="N97" s="1201"/>
      <c r="O97" s="1201">
        <v>4128130.13</v>
      </c>
      <c r="P97" s="2866"/>
      <c r="Q97" s="2859"/>
    </row>
    <row r="98" spans="2:17" s="2846" customFormat="1" ht="15.6">
      <c r="B98" s="2854">
        <v>32351</v>
      </c>
      <c r="C98" s="3802"/>
      <c r="D98" s="2867" t="s">
        <v>580</v>
      </c>
      <c r="E98" s="2870"/>
      <c r="F98" s="1201"/>
      <c r="G98" s="1201">
        <v>0</v>
      </c>
      <c r="H98" s="1201"/>
      <c r="I98" s="1201">
        <v>0</v>
      </c>
      <c r="J98" s="1201"/>
      <c r="K98" s="1201">
        <v>0</v>
      </c>
      <c r="L98" s="1201"/>
      <c r="M98" s="1201">
        <f t="shared" si="7"/>
        <v>0</v>
      </c>
      <c r="N98" s="1201"/>
      <c r="O98" s="1201">
        <v>0</v>
      </c>
      <c r="P98" s="2866"/>
      <c r="Q98" s="2859"/>
    </row>
    <row r="99" spans="2:17" s="2846" customFormat="1" ht="15.6">
      <c r="B99" s="2871">
        <v>32352</v>
      </c>
      <c r="C99" s="2872"/>
      <c r="D99" s="2873" t="s">
        <v>581</v>
      </c>
      <c r="E99" s="2874"/>
      <c r="F99" s="1201">
        <v>65245293.57</v>
      </c>
      <c r="G99" s="1201">
        <v>188762805.06</v>
      </c>
      <c r="H99" s="1201"/>
      <c r="I99" s="1201">
        <v>219417630.81</v>
      </c>
      <c r="J99" s="1201"/>
      <c r="K99" s="1201">
        <v>250612191.11000001</v>
      </c>
      <c r="L99" s="1201"/>
      <c r="M99" s="1201">
        <f t="shared" ref="M99" si="9">ROUND(SUM(O99)-SUM(K99),2)</f>
        <v>24368695.890000001</v>
      </c>
      <c r="N99" s="1201"/>
      <c r="O99" s="1201">
        <v>274980887</v>
      </c>
      <c r="P99" s="2875"/>
      <c r="Q99" s="2859"/>
    </row>
    <row r="100" spans="2:17" s="2846" customFormat="1" ht="15.6">
      <c r="B100" s="2871">
        <v>32353</v>
      </c>
      <c r="C100" s="3803"/>
      <c r="D100" s="2873" t="s">
        <v>1445</v>
      </c>
      <c r="E100" s="2874"/>
      <c r="F100" s="1201"/>
      <c r="G100" s="1201">
        <v>0</v>
      </c>
      <c r="H100" s="1201"/>
      <c r="I100" s="1201">
        <v>0</v>
      </c>
      <c r="J100" s="1201"/>
      <c r="K100" s="1201">
        <v>0</v>
      </c>
      <c r="L100" s="1201"/>
      <c r="M100" s="1201">
        <f t="shared" ref="M100" si="10">ROUND(SUM(O100)-SUM(K100),2)</f>
        <v>0</v>
      </c>
      <c r="N100" s="1201"/>
      <c r="O100" s="1201">
        <v>0</v>
      </c>
      <c r="P100" s="2875"/>
      <c r="Q100" s="2859"/>
    </row>
    <row r="101" spans="2:17" s="2846" customFormat="1" ht="15.6">
      <c r="B101" s="2854">
        <v>33001</v>
      </c>
      <c r="C101" s="2818"/>
      <c r="D101" s="2855" t="s">
        <v>582</v>
      </c>
      <c r="E101" s="2870"/>
      <c r="F101" s="1201">
        <v>10000000</v>
      </c>
      <c r="G101" s="1201">
        <v>60640257.25</v>
      </c>
      <c r="H101" s="1201"/>
      <c r="I101" s="1201">
        <v>62049446.200000003</v>
      </c>
      <c r="J101" s="1201"/>
      <c r="K101" s="1201">
        <v>63143325.530000001</v>
      </c>
      <c r="L101" s="1201"/>
      <c r="M101" s="1201">
        <f t="shared" si="7"/>
        <v>140993.81</v>
      </c>
      <c r="N101" s="1201"/>
      <c r="O101" s="1201">
        <v>63284319.340000004</v>
      </c>
      <c r="P101" s="2866"/>
      <c r="Q101" s="2859"/>
    </row>
    <row r="102" spans="2:17" s="2846" customFormat="1" ht="16.2" thickBot="1">
      <c r="B102" s="2876"/>
      <c r="C102" s="2877"/>
      <c r="D102" s="2861" t="s">
        <v>583</v>
      </c>
      <c r="E102" s="2850"/>
      <c r="F102" s="2850"/>
      <c r="G102" s="1561">
        <f>ROUND(SUM(G14:G101),2)</f>
        <v>1280879867.6700001</v>
      </c>
      <c r="H102" s="2105"/>
      <c r="I102" s="1561">
        <f>ROUND(SUM(I14:I101),2)</f>
        <v>1363340664.9000001</v>
      </c>
      <c r="J102" s="2105"/>
      <c r="K102" s="1561">
        <f>ROUND(SUM(K14:K101),2)</f>
        <v>1477208966.23</v>
      </c>
      <c r="L102" s="2496"/>
      <c r="M102" s="1203">
        <f>ROUND(SUM(M14:M101),2)</f>
        <v>36864732.439999998</v>
      </c>
      <c r="N102" s="2496"/>
      <c r="O102" s="1561">
        <f>ROUND(SUM(O14:O101),2)</f>
        <v>1514073698.6700001</v>
      </c>
      <c r="P102" s="2866"/>
      <c r="Q102" s="2859"/>
    </row>
    <row r="103" spans="2:17" s="2846" customFormat="1" ht="16.2" thickTop="1">
      <c r="B103" s="2878"/>
      <c r="C103" s="2878"/>
      <c r="D103" s="2879"/>
      <c r="E103" s="2853"/>
      <c r="F103" s="2853"/>
      <c r="G103" s="797"/>
      <c r="H103" s="798"/>
      <c r="I103" s="2880"/>
      <c r="J103" s="798"/>
      <c r="K103" s="2880"/>
      <c r="L103" s="798"/>
      <c r="M103" s="797"/>
      <c r="N103" s="798"/>
      <c r="O103" s="3557"/>
      <c r="P103" s="2881"/>
      <c r="Q103" s="2859"/>
    </row>
    <row r="104" spans="2:17" s="2846" customFormat="1" ht="15.6">
      <c r="B104" s="2847"/>
      <c r="C104" s="2877"/>
      <c r="D104" s="2882" t="s">
        <v>584</v>
      </c>
      <c r="E104" s="2883"/>
      <c r="F104" s="2883"/>
      <c r="G104" s="2884"/>
      <c r="H104" s="2884"/>
      <c r="I104" s="2885"/>
      <c r="J104" s="2884"/>
      <c r="K104" s="2885"/>
      <c r="L104" s="2884"/>
      <c r="M104" s="1471"/>
      <c r="N104" s="1471"/>
      <c r="O104" s="3558"/>
      <c r="P104" s="2853"/>
      <c r="Q104" s="2859"/>
    </row>
    <row r="105" spans="2:17" s="3033" customFormat="1" ht="15.6">
      <c r="B105" s="2854">
        <v>20401</v>
      </c>
      <c r="C105" s="3450"/>
      <c r="D105" s="2873" t="s">
        <v>1256</v>
      </c>
      <c r="E105" s="3451"/>
      <c r="F105" s="3451"/>
      <c r="G105" s="1201">
        <v>0</v>
      </c>
      <c r="H105" s="3054"/>
      <c r="I105" s="1201">
        <v>0</v>
      </c>
      <c r="J105" s="3054"/>
      <c r="K105" s="1201">
        <v>0</v>
      </c>
      <c r="L105" s="3054"/>
      <c r="M105" s="1201">
        <f t="shared" ref="M105:M165" si="11">ROUND(SUM(O105)-SUM(K105),2)</f>
        <v>0</v>
      </c>
      <c r="N105" s="3452"/>
      <c r="O105" s="1201">
        <v>0</v>
      </c>
      <c r="P105" s="3453"/>
      <c r="Q105" s="3032"/>
    </row>
    <row r="106" spans="2:17" s="2846" customFormat="1" ht="15.6">
      <c r="B106" s="2854">
        <v>20501</v>
      </c>
      <c r="C106" s="2886"/>
      <c r="D106" s="2855" t="s">
        <v>585</v>
      </c>
      <c r="E106" s="2887"/>
      <c r="F106" s="2887"/>
      <c r="G106" s="1201">
        <v>0</v>
      </c>
      <c r="H106" s="1201"/>
      <c r="I106" s="1201">
        <v>0</v>
      </c>
      <c r="J106" s="1201"/>
      <c r="K106" s="1201">
        <v>0</v>
      </c>
      <c r="L106" s="1201"/>
      <c r="M106" s="1201">
        <f t="shared" si="11"/>
        <v>0</v>
      </c>
      <c r="N106" s="1201"/>
      <c r="O106" s="1201">
        <v>0</v>
      </c>
      <c r="P106" s="2866"/>
      <c r="Q106" s="2859"/>
    </row>
    <row r="107" spans="2:17" s="2846" customFormat="1" ht="15.6">
      <c r="B107" s="2854">
        <v>20810</v>
      </c>
      <c r="C107" s="2868"/>
      <c r="D107" s="2888" t="s">
        <v>586</v>
      </c>
      <c r="E107" s="2870"/>
      <c r="F107" s="2870"/>
      <c r="G107" s="1201">
        <v>59684393.869999997</v>
      </c>
      <c r="H107" s="1201"/>
      <c r="I107" s="1201">
        <v>91899347.519999996</v>
      </c>
      <c r="J107" s="1201"/>
      <c r="K107" s="1201">
        <v>10608313.859999999</v>
      </c>
      <c r="L107" s="1201"/>
      <c r="M107" s="1201">
        <f t="shared" si="11"/>
        <v>36110408.310000002</v>
      </c>
      <c r="N107" s="1201"/>
      <c r="O107" s="1201">
        <v>46718722.170000002</v>
      </c>
      <c r="P107" s="2135"/>
      <c r="Q107" s="2859"/>
    </row>
    <row r="108" spans="2:17" s="2846" customFormat="1" ht="15.6">
      <c r="B108" s="2854">
        <v>20818</v>
      </c>
      <c r="C108" s="2868"/>
      <c r="D108" s="2888" t="s">
        <v>587</v>
      </c>
      <c r="E108" s="2870"/>
      <c r="F108" s="2870"/>
      <c r="G108" s="1201">
        <v>0</v>
      </c>
      <c r="H108" s="1201"/>
      <c r="I108" s="1201">
        <v>0</v>
      </c>
      <c r="J108" s="1201"/>
      <c r="K108" s="1201">
        <v>0</v>
      </c>
      <c r="L108" s="1201"/>
      <c r="M108" s="1201">
        <f t="shared" si="11"/>
        <v>1475240.06</v>
      </c>
      <c r="N108" s="1201"/>
      <c r="O108" s="1201">
        <v>1475240.06</v>
      </c>
      <c r="P108" s="2135"/>
      <c r="Q108" s="2859"/>
    </row>
    <row r="109" spans="2:17" s="2846" customFormat="1" ht="15.6">
      <c r="B109" s="2854">
        <v>20901</v>
      </c>
      <c r="C109" s="2868"/>
      <c r="D109" s="2888" t="s">
        <v>588</v>
      </c>
      <c r="E109" s="2870"/>
      <c r="F109" s="2870"/>
      <c r="G109" s="1201">
        <v>1310955140.51</v>
      </c>
      <c r="H109" s="1201"/>
      <c r="I109" s="1201">
        <v>984870301.83000004</v>
      </c>
      <c r="J109" s="1201"/>
      <c r="K109" s="1201">
        <v>735023939.64999998</v>
      </c>
      <c r="L109" s="1201"/>
      <c r="M109" s="1201">
        <f t="shared" si="11"/>
        <v>28825579.809999999</v>
      </c>
      <c r="N109" s="1201"/>
      <c r="O109" s="1201">
        <v>763849519.46000004</v>
      </c>
      <c r="P109" s="2135"/>
      <c r="Q109" s="2859"/>
    </row>
    <row r="110" spans="2:17" s="2846" customFormat="1" ht="15.6">
      <c r="B110" s="2854">
        <v>20904</v>
      </c>
      <c r="C110" s="2889"/>
      <c r="D110" s="2890" t="s">
        <v>589</v>
      </c>
      <c r="E110" s="2874"/>
      <c r="F110" s="2874"/>
      <c r="G110" s="1201">
        <v>0</v>
      </c>
      <c r="H110" s="1201"/>
      <c r="I110" s="1201">
        <v>0</v>
      </c>
      <c r="J110" s="1201"/>
      <c r="K110" s="1201">
        <v>0</v>
      </c>
      <c r="L110" s="1201"/>
      <c r="M110" s="1201">
        <f t="shared" si="11"/>
        <v>0</v>
      </c>
      <c r="N110" s="1201"/>
      <c r="O110" s="1201">
        <v>0</v>
      </c>
      <c r="P110" s="2135"/>
      <c r="Q110" s="2859"/>
    </row>
    <row r="111" spans="2:17" s="2846" customFormat="1" ht="15.6">
      <c r="B111" s="2854">
        <v>21001</v>
      </c>
      <c r="C111" s="2889"/>
      <c r="D111" s="2890" t="s">
        <v>1446</v>
      </c>
      <c r="E111" s="2874"/>
      <c r="F111" s="2874"/>
      <c r="G111" s="1201">
        <v>0</v>
      </c>
      <c r="H111" s="1201"/>
      <c r="I111" s="1201">
        <v>0</v>
      </c>
      <c r="J111" s="1201"/>
      <c r="K111" s="1201">
        <v>0</v>
      </c>
      <c r="L111" s="1201"/>
      <c r="M111" s="1201">
        <f>ROUND(SUM(O111)-SUM(K111),2)</f>
        <v>0</v>
      </c>
      <c r="N111" s="1201"/>
      <c r="O111" s="1201">
        <v>0</v>
      </c>
      <c r="P111" s="2135"/>
      <c r="Q111" s="2859"/>
    </row>
    <row r="112" spans="2:17" s="2846" customFormat="1" ht="15.6">
      <c r="B112" s="2854">
        <v>21002</v>
      </c>
      <c r="C112" s="2868"/>
      <c r="D112" s="2888" t="s">
        <v>1212</v>
      </c>
      <c r="E112" s="2870"/>
      <c r="F112" s="2870"/>
      <c r="G112" s="1201">
        <v>3532201.76</v>
      </c>
      <c r="H112" s="1201"/>
      <c r="I112" s="1201">
        <v>3622883.61</v>
      </c>
      <c r="J112" s="1201"/>
      <c r="K112" s="1201">
        <v>3666337.93</v>
      </c>
      <c r="L112" s="1201"/>
      <c r="M112" s="1201">
        <f t="shared" si="11"/>
        <v>36468.199999999997</v>
      </c>
      <c r="N112" s="1201"/>
      <c r="O112" s="1201">
        <v>3702806.13</v>
      </c>
      <c r="P112" s="2135"/>
      <c r="Q112" s="2859"/>
    </row>
    <row r="113" spans="2:17" s="2846" customFormat="1" ht="15.6">
      <c r="B113" s="2854">
        <v>21061</v>
      </c>
      <c r="C113" s="2868"/>
      <c r="D113" s="2888" t="s">
        <v>590</v>
      </c>
      <c r="E113" s="2870"/>
      <c r="F113" s="2870"/>
      <c r="G113" s="1201">
        <v>0</v>
      </c>
      <c r="H113" s="1201"/>
      <c r="I113" s="1201">
        <v>0</v>
      </c>
      <c r="J113" s="1201"/>
      <c r="K113" s="1201">
        <v>0</v>
      </c>
      <c r="L113" s="1201"/>
      <c r="M113" s="1201">
        <f t="shared" si="11"/>
        <v>0</v>
      </c>
      <c r="N113" s="1201"/>
      <c r="O113" s="1201">
        <v>0</v>
      </c>
      <c r="P113" s="2135"/>
      <c r="Q113" s="2859"/>
    </row>
    <row r="114" spans="2:17" s="2846" customFormat="1" ht="15.6">
      <c r="B114" s="2854">
        <v>21064</v>
      </c>
      <c r="C114" s="2868"/>
      <c r="D114" s="2888" t="s">
        <v>1202</v>
      </c>
      <c r="E114" s="2870"/>
      <c r="F114" s="2870"/>
      <c r="G114" s="1201">
        <v>199.99</v>
      </c>
      <c r="H114" s="1201"/>
      <c r="I114" s="1201">
        <v>199.99</v>
      </c>
      <c r="J114" s="1201"/>
      <c r="K114" s="1201">
        <v>199.99</v>
      </c>
      <c r="L114" s="1201"/>
      <c r="M114" s="1201">
        <f t="shared" ref="M114" si="12">ROUND(SUM(O114)-SUM(K114),2)</f>
        <v>1655199.99</v>
      </c>
      <c r="N114" s="1201"/>
      <c r="O114" s="1201">
        <v>1655399.98</v>
      </c>
      <c r="P114" s="2135"/>
      <c r="Q114" s="2859"/>
    </row>
    <row r="115" spans="2:17" s="2846" customFormat="1" ht="15.6">
      <c r="B115" s="2854">
        <v>21065</v>
      </c>
      <c r="C115" s="2868"/>
      <c r="D115" s="2888" t="s">
        <v>591</v>
      </c>
      <c r="E115" s="2870"/>
      <c r="F115" s="2870"/>
      <c r="G115" s="1201">
        <v>1870095.04</v>
      </c>
      <c r="H115" s="1201"/>
      <c r="I115" s="1201">
        <v>2886753.88</v>
      </c>
      <c r="J115" s="1201"/>
      <c r="K115" s="1201">
        <v>1208567.54</v>
      </c>
      <c r="L115" s="1201"/>
      <c r="M115" s="1201">
        <f t="shared" si="11"/>
        <v>605284.98</v>
      </c>
      <c r="N115" s="1201"/>
      <c r="O115" s="1201">
        <v>1813852.52</v>
      </c>
      <c r="P115" s="2135"/>
      <c r="Q115" s="2859"/>
    </row>
    <row r="116" spans="2:17" s="2846" customFormat="1" ht="15.6">
      <c r="B116" s="2854">
        <v>21066</v>
      </c>
      <c r="C116" s="2868"/>
      <c r="D116" s="2869" t="s">
        <v>592</v>
      </c>
      <c r="E116" s="2870"/>
      <c r="F116" s="2870"/>
      <c r="G116" s="1201">
        <v>3430618.95</v>
      </c>
      <c r="H116" s="1201"/>
      <c r="I116" s="1201">
        <v>3814428.48</v>
      </c>
      <c r="J116" s="1201"/>
      <c r="K116" s="1201">
        <v>4131874.87</v>
      </c>
      <c r="L116" s="1201"/>
      <c r="M116" s="1201">
        <f t="shared" si="11"/>
        <v>469105.13</v>
      </c>
      <c r="N116" s="1201"/>
      <c r="O116" s="1201">
        <v>4600980</v>
      </c>
      <c r="P116" s="2135"/>
      <c r="Q116" s="2859"/>
    </row>
    <row r="117" spans="2:17" s="2846" customFormat="1" ht="15.6">
      <c r="B117" s="2854">
        <v>21067</v>
      </c>
      <c r="C117" s="2868"/>
      <c r="D117" s="2869" t="s">
        <v>593</v>
      </c>
      <c r="E117" s="2870"/>
      <c r="F117" s="2870"/>
      <c r="G117" s="1201">
        <v>0</v>
      </c>
      <c r="H117" s="1201"/>
      <c r="I117" s="1201">
        <v>0</v>
      </c>
      <c r="J117" s="1201"/>
      <c r="K117" s="1201">
        <v>0</v>
      </c>
      <c r="L117" s="1201"/>
      <c r="M117" s="1201">
        <f t="shared" si="11"/>
        <v>0</v>
      </c>
      <c r="N117" s="1201"/>
      <c r="O117" s="1201">
        <v>0</v>
      </c>
      <c r="P117" s="2135"/>
      <c r="Q117" s="2859"/>
    </row>
    <row r="118" spans="2:17" s="2846" customFormat="1" ht="15.6">
      <c r="B118" s="2854">
        <v>21077</v>
      </c>
      <c r="C118" s="2868"/>
      <c r="D118" s="2888" t="s">
        <v>594</v>
      </c>
      <c r="E118" s="2870"/>
      <c r="F118" s="2870"/>
      <c r="G118" s="1201">
        <v>0</v>
      </c>
      <c r="H118" s="1201"/>
      <c r="I118" s="1201">
        <v>0</v>
      </c>
      <c r="J118" s="1201"/>
      <c r="K118" s="1201">
        <v>0</v>
      </c>
      <c r="L118" s="1201"/>
      <c r="M118" s="1201">
        <f t="shared" si="11"/>
        <v>0</v>
      </c>
      <c r="N118" s="1201"/>
      <c r="O118" s="1201">
        <v>0</v>
      </c>
      <c r="P118" s="2135"/>
      <c r="Q118" s="2859"/>
    </row>
    <row r="119" spans="2:17" s="2846" customFormat="1" ht="15.6">
      <c r="B119" s="2854">
        <v>21081</v>
      </c>
      <c r="C119" s="2868"/>
      <c r="D119" s="2869" t="s">
        <v>595</v>
      </c>
      <c r="E119" s="2870"/>
      <c r="F119" s="2870"/>
      <c r="G119" s="1201">
        <v>68434129.409999996</v>
      </c>
      <c r="H119" s="1201"/>
      <c r="I119" s="1201">
        <v>68694225.879999995</v>
      </c>
      <c r="J119" s="1201"/>
      <c r="K119" s="1201">
        <v>70839102.209999993</v>
      </c>
      <c r="L119" s="1201"/>
      <c r="M119" s="1201">
        <f t="shared" si="11"/>
        <v>-144537.32</v>
      </c>
      <c r="N119" s="1201"/>
      <c r="O119" s="1201">
        <v>70694564.890000001</v>
      </c>
      <c r="P119" s="2135"/>
      <c r="Q119" s="2859"/>
    </row>
    <row r="120" spans="2:17" s="2846" customFormat="1" ht="15.6">
      <c r="B120" s="2854">
        <v>21082</v>
      </c>
      <c r="C120" s="2868"/>
      <c r="D120" s="2888" t="s">
        <v>596</v>
      </c>
      <c r="E120" s="2870"/>
      <c r="F120" s="2870"/>
      <c r="G120" s="1201">
        <v>15466498.960000001</v>
      </c>
      <c r="H120" s="1201"/>
      <c r="I120" s="1201">
        <v>16220707.060000001</v>
      </c>
      <c r="J120" s="1201"/>
      <c r="K120" s="1201">
        <v>16435553.77</v>
      </c>
      <c r="L120" s="1201"/>
      <c r="M120" s="1201">
        <f t="shared" si="11"/>
        <v>422598.08</v>
      </c>
      <c r="N120" s="1201"/>
      <c r="O120" s="1201">
        <v>16858151.850000001</v>
      </c>
      <c r="P120" s="2135"/>
      <c r="Q120" s="2859"/>
    </row>
    <row r="121" spans="2:17" s="2846" customFormat="1" ht="15.6">
      <c r="B121" s="2854">
        <v>21084</v>
      </c>
      <c r="C121" s="2868"/>
      <c r="D121" s="2888" t="s">
        <v>597</v>
      </c>
      <c r="E121" s="2870"/>
      <c r="F121" s="2870"/>
      <c r="G121" s="1201">
        <v>0</v>
      </c>
      <c r="H121" s="1201"/>
      <c r="I121" s="1201">
        <v>0</v>
      </c>
      <c r="J121" s="1201"/>
      <c r="K121" s="1201">
        <v>0</v>
      </c>
      <c r="L121" s="1201"/>
      <c r="M121" s="1201">
        <f t="shared" si="11"/>
        <v>0</v>
      </c>
      <c r="N121" s="1201"/>
      <c r="O121" s="1201">
        <v>0</v>
      </c>
      <c r="P121" s="2135"/>
      <c r="Q121" s="2859"/>
    </row>
    <row r="122" spans="2:17" s="2846" customFormat="1" ht="15.6">
      <c r="B122" s="2854">
        <v>21087</v>
      </c>
      <c r="C122" s="2868"/>
      <c r="D122" s="2888" t="s">
        <v>598</v>
      </c>
      <c r="E122" s="2870"/>
      <c r="F122" s="2870"/>
      <c r="G122" s="1201">
        <v>0</v>
      </c>
      <c r="H122" s="1201"/>
      <c r="I122" s="1201">
        <v>0</v>
      </c>
      <c r="J122" s="1201"/>
      <c r="K122" s="1201">
        <v>0</v>
      </c>
      <c r="L122" s="1201"/>
      <c r="M122" s="1201">
        <f t="shared" si="11"/>
        <v>0</v>
      </c>
      <c r="N122" s="1201"/>
      <c r="O122" s="1201">
        <v>0</v>
      </c>
      <c r="P122" s="2135"/>
      <c r="Q122" s="2859"/>
    </row>
    <row r="123" spans="2:17" s="2846" customFormat="1" ht="15.6">
      <c r="B123" s="2854">
        <v>21201</v>
      </c>
      <c r="C123" s="2868"/>
      <c r="D123" s="2888" t="s">
        <v>599</v>
      </c>
      <c r="E123" s="2870"/>
      <c r="F123" s="2870"/>
      <c r="G123" s="1201">
        <v>0</v>
      </c>
      <c r="H123" s="1201"/>
      <c r="I123" s="1201">
        <v>21.27</v>
      </c>
      <c r="J123" s="1201"/>
      <c r="K123" s="1201">
        <v>11860.96</v>
      </c>
      <c r="L123" s="1201"/>
      <c r="M123" s="1201">
        <f t="shared" si="11"/>
        <v>-11860.96</v>
      </c>
      <c r="N123" s="1201"/>
      <c r="O123" s="1201">
        <v>0</v>
      </c>
      <c r="P123" s="2135"/>
      <c r="Q123" s="2859"/>
    </row>
    <row r="124" spans="2:17" s="2846" customFormat="1" ht="15.6">
      <c r="B124" s="2854">
        <v>21202</v>
      </c>
      <c r="C124" s="2868"/>
      <c r="D124" s="2888" t="s">
        <v>600</v>
      </c>
      <c r="E124" s="2870"/>
      <c r="F124" s="2870"/>
      <c r="G124" s="1201">
        <v>0</v>
      </c>
      <c r="H124" s="1201"/>
      <c r="I124" s="1201">
        <v>0</v>
      </c>
      <c r="J124" s="1201"/>
      <c r="K124" s="1201">
        <v>2472.17</v>
      </c>
      <c r="L124" s="1201"/>
      <c r="M124" s="1201">
        <f t="shared" si="11"/>
        <v>-2472.17</v>
      </c>
      <c r="N124" s="1201"/>
      <c r="O124" s="1201">
        <v>0</v>
      </c>
      <c r="P124" s="2135"/>
      <c r="Q124" s="2859"/>
    </row>
    <row r="125" spans="2:17" s="2846" customFormat="1" ht="15.6">
      <c r="B125" s="2854">
        <v>21203</v>
      </c>
      <c r="C125" s="2868"/>
      <c r="D125" s="2888" t="s">
        <v>601</v>
      </c>
      <c r="E125" s="2870"/>
      <c r="F125" s="2870"/>
      <c r="G125" s="1201">
        <v>0</v>
      </c>
      <c r="H125" s="1201"/>
      <c r="I125" s="1201">
        <v>241.99</v>
      </c>
      <c r="J125" s="1201"/>
      <c r="K125" s="1201">
        <v>263807.94</v>
      </c>
      <c r="L125" s="1201"/>
      <c r="M125" s="1201">
        <f t="shared" si="11"/>
        <v>-254690.81</v>
      </c>
      <c r="N125" s="1201"/>
      <c r="O125" s="1201">
        <v>9117.1299999999992</v>
      </c>
      <c r="P125" s="2135"/>
      <c r="Q125" s="2859"/>
    </row>
    <row r="126" spans="2:17" s="2846" customFormat="1" ht="15.6">
      <c r="B126" s="2854">
        <v>21204</v>
      </c>
      <c r="C126" s="2868"/>
      <c r="D126" s="2888" t="s">
        <v>1447</v>
      </c>
      <c r="E126" s="2870"/>
      <c r="F126" s="2870"/>
      <c r="G126" s="1201">
        <v>0</v>
      </c>
      <c r="H126" s="1201"/>
      <c r="I126" s="1201">
        <v>0</v>
      </c>
      <c r="J126" s="1201"/>
      <c r="K126" s="1201">
        <v>0</v>
      </c>
      <c r="L126" s="1201"/>
      <c r="M126" s="1201">
        <f t="shared" ref="M126:M127" si="13">ROUND(SUM(O126)-SUM(K126),2)</f>
        <v>0</v>
      </c>
      <c r="N126" s="1201"/>
      <c r="O126" s="1201">
        <v>0</v>
      </c>
      <c r="P126" s="2135"/>
      <c r="Q126" s="2859"/>
    </row>
    <row r="127" spans="2:17" s="2846" customFormat="1" ht="15.6">
      <c r="B127" s="2854">
        <v>21205</v>
      </c>
      <c r="C127" s="2868"/>
      <c r="D127" s="2888" t="s">
        <v>1448</v>
      </c>
      <c r="E127" s="2870"/>
      <c r="F127" s="2870"/>
      <c r="G127" s="1201">
        <v>0</v>
      </c>
      <c r="H127" s="1201"/>
      <c r="I127" s="1201">
        <v>0</v>
      </c>
      <c r="J127" s="1201"/>
      <c r="K127" s="1201">
        <v>0</v>
      </c>
      <c r="L127" s="1201"/>
      <c r="M127" s="1201">
        <f t="shared" si="13"/>
        <v>0</v>
      </c>
      <c r="N127" s="1201"/>
      <c r="O127" s="1201">
        <v>0</v>
      </c>
      <c r="P127" s="2135"/>
      <c r="Q127" s="2859"/>
    </row>
    <row r="128" spans="2:17" s="2846" customFormat="1" ht="15.6">
      <c r="B128" s="2871">
        <v>21401</v>
      </c>
      <c r="C128" s="2889"/>
      <c r="D128" s="2891" t="s">
        <v>602</v>
      </c>
      <c r="E128" s="2874"/>
      <c r="F128" s="2874"/>
      <c r="G128" s="1201">
        <v>0</v>
      </c>
      <c r="H128" s="1201"/>
      <c r="I128" s="1201">
        <v>0</v>
      </c>
      <c r="J128" s="1201"/>
      <c r="K128" s="1201">
        <v>0</v>
      </c>
      <c r="L128" s="1201"/>
      <c r="M128" s="1201">
        <f t="shared" si="11"/>
        <v>0</v>
      </c>
      <c r="N128" s="1201"/>
      <c r="O128" s="1201">
        <v>0</v>
      </c>
      <c r="P128" s="2135"/>
      <c r="Q128" s="2859"/>
    </row>
    <row r="129" spans="2:17" s="2846" customFormat="1" ht="15.6">
      <c r="B129" s="2871">
        <v>21402</v>
      </c>
      <c r="C129" s="2889"/>
      <c r="D129" s="2891" t="s">
        <v>603</v>
      </c>
      <c r="E129" s="2874"/>
      <c r="F129" s="2874"/>
      <c r="G129" s="1201">
        <v>0</v>
      </c>
      <c r="H129" s="1201"/>
      <c r="I129" s="1201">
        <v>0</v>
      </c>
      <c r="J129" s="1201"/>
      <c r="K129" s="1201">
        <v>41402799.07</v>
      </c>
      <c r="L129" s="1201"/>
      <c r="M129" s="1201">
        <f t="shared" si="11"/>
        <v>-41402799.07</v>
      </c>
      <c r="N129" s="1201"/>
      <c r="O129" s="1201">
        <v>0</v>
      </c>
      <c r="P129" s="2135"/>
      <c r="Q129" s="2859"/>
    </row>
    <row r="130" spans="2:17" s="2846" customFormat="1" ht="15.6">
      <c r="B130" s="2854">
        <v>21451</v>
      </c>
      <c r="C130" s="2868"/>
      <c r="D130" s="2869" t="s">
        <v>604</v>
      </c>
      <c r="E130" s="2870"/>
      <c r="F130" s="2870"/>
      <c r="G130" s="1201">
        <v>35552597.840000004</v>
      </c>
      <c r="H130" s="1201"/>
      <c r="I130" s="1201">
        <v>36038137.689999998</v>
      </c>
      <c r="J130" s="1201"/>
      <c r="K130" s="1201">
        <v>36313483.460000001</v>
      </c>
      <c r="L130" s="1201"/>
      <c r="M130" s="1201">
        <f t="shared" si="11"/>
        <v>391893.91</v>
      </c>
      <c r="N130" s="1201"/>
      <c r="O130" s="1201">
        <v>36705377.369999997</v>
      </c>
      <c r="P130" s="2135"/>
      <c r="Q130" s="2859"/>
    </row>
    <row r="131" spans="2:17" s="2846" customFormat="1" ht="15.6">
      <c r="B131" s="2854">
        <v>21452</v>
      </c>
      <c r="C131" s="2868"/>
      <c r="D131" s="2888" t="s">
        <v>605</v>
      </c>
      <c r="E131" s="2870"/>
      <c r="F131" s="2870"/>
      <c r="G131" s="1201">
        <v>0</v>
      </c>
      <c r="H131" s="1201"/>
      <c r="I131" s="1201">
        <v>0</v>
      </c>
      <c r="J131" s="1201"/>
      <c r="K131" s="1201">
        <v>0</v>
      </c>
      <c r="L131" s="1201"/>
      <c r="M131" s="1201">
        <f t="shared" si="11"/>
        <v>0</v>
      </c>
      <c r="N131" s="1201"/>
      <c r="O131" s="1201">
        <v>0</v>
      </c>
      <c r="P131" s="2135"/>
      <c r="Q131" s="2859"/>
    </row>
    <row r="132" spans="2:17" s="2846" customFormat="1" ht="15.6">
      <c r="B132" s="2854">
        <v>21902</v>
      </c>
      <c r="C132" s="2868"/>
      <c r="D132" s="2869" t="s">
        <v>1149</v>
      </c>
      <c r="E132" s="2870"/>
      <c r="F132" s="2870"/>
      <c r="G132" s="1201">
        <v>0</v>
      </c>
      <c r="H132" s="1201"/>
      <c r="I132" s="1201">
        <v>0</v>
      </c>
      <c r="J132" s="1201"/>
      <c r="K132" s="1201">
        <v>0</v>
      </c>
      <c r="L132" s="1201"/>
      <c r="M132" s="1201">
        <f t="shared" si="11"/>
        <v>0</v>
      </c>
      <c r="N132" s="1201"/>
      <c r="O132" s="1201">
        <v>0</v>
      </c>
      <c r="P132" s="2135"/>
      <c r="Q132" s="2859"/>
    </row>
    <row r="133" spans="2:17" s="2846" customFormat="1" ht="15.6">
      <c r="B133" s="2854">
        <v>21905</v>
      </c>
      <c r="C133" s="2868"/>
      <c r="D133" s="3044" t="s">
        <v>1152</v>
      </c>
      <c r="E133" s="2870"/>
      <c r="F133" s="2870"/>
      <c r="G133" s="1201">
        <v>12388561.75</v>
      </c>
      <c r="H133" s="1201"/>
      <c r="I133" s="1201">
        <v>5860760.75</v>
      </c>
      <c r="J133" s="1201"/>
      <c r="K133" s="1201">
        <v>8272332.3300000001</v>
      </c>
      <c r="L133" s="1201"/>
      <c r="M133" s="1201">
        <f t="shared" si="11"/>
        <v>-74540.67</v>
      </c>
      <c r="N133" s="1201"/>
      <c r="O133" s="1201">
        <v>8197791.6600000001</v>
      </c>
      <c r="P133" s="2135"/>
      <c r="Q133" s="2859"/>
    </row>
    <row r="134" spans="2:17" s="2846" customFormat="1" ht="15.6">
      <c r="B134" s="2854">
        <v>21907</v>
      </c>
      <c r="C134" s="2868"/>
      <c r="D134" s="2888" t="s">
        <v>606</v>
      </c>
      <c r="E134" s="2870"/>
      <c r="F134" s="2870"/>
      <c r="G134" s="1201">
        <v>0</v>
      </c>
      <c r="H134" s="1201"/>
      <c r="I134" s="1201">
        <v>0</v>
      </c>
      <c r="J134" s="1201"/>
      <c r="K134" s="1201">
        <v>0</v>
      </c>
      <c r="L134" s="1201"/>
      <c r="M134" s="1201">
        <f t="shared" si="11"/>
        <v>0</v>
      </c>
      <c r="N134" s="1201"/>
      <c r="O134" s="1201">
        <v>0</v>
      </c>
      <c r="P134" s="2135"/>
      <c r="Q134" s="2859"/>
    </row>
    <row r="135" spans="2:17" s="2846" customFormat="1" ht="15.6">
      <c r="B135" s="2854">
        <v>21909</v>
      </c>
      <c r="C135" s="2868"/>
      <c r="D135" s="2888" t="s">
        <v>607</v>
      </c>
      <c r="E135" s="2870"/>
      <c r="F135" s="2870"/>
      <c r="G135" s="1201">
        <v>0</v>
      </c>
      <c r="H135" s="1201"/>
      <c r="I135" s="1201">
        <v>0</v>
      </c>
      <c r="J135" s="1201"/>
      <c r="K135" s="1201">
        <v>0</v>
      </c>
      <c r="L135" s="1201"/>
      <c r="M135" s="1201">
        <f t="shared" si="11"/>
        <v>0</v>
      </c>
      <c r="N135" s="1201"/>
      <c r="O135" s="1201">
        <v>0</v>
      </c>
      <c r="P135" s="2135"/>
      <c r="Q135" s="2859"/>
    </row>
    <row r="136" spans="2:17" s="2846" customFormat="1" ht="15.6">
      <c r="B136" s="2854">
        <v>21911</v>
      </c>
      <c r="C136" s="2868"/>
      <c r="D136" s="2888" t="s">
        <v>608</v>
      </c>
      <c r="E136" s="2870"/>
      <c r="F136" s="2870"/>
      <c r="G136" s="1201">
        <v>167290.20000000001</v>
      </c>
      <c r="H136" s="1201"/>
      <c r="I136" s="1201">
        <v>330164.19</v>
      </c>
      <c r="J136" s="1201"/>
      <c r="K136" s="1201">
        <v>511838.54</v>
      </c>
      <c r="L136" s="1201"/>
      <c r="M136" s="1201">
        <f t="shared" si="11"/>
        <v>-341667.43</v>
      </c>
      <c r="N136" s="1201"/>
      <c r="O136" s="1201">
        <v>170171.11</v>
      </c>
      <c r="P136" s="2135"/>
      <c r="Q136" s="2859"/>
    </row>
    <row r="137" spans="2:17" s="2846" customFormat="1" ht="15.6">
      <c r="B137" s="2854">
        <v>21912</v>
      </c>
      <c r="C137" s="2868"/>
      <c r="D137" s="2869" t="s">
        <v>609</v>
      </c>
      <c r="E137" s="2870"/>
      <c r="F137" s="2870"/>
      <c r="G137" s="1201">
        <v>3414991.38</v>
      </c>
      <c r="H137" s="1201"/>
      <c r="I137" s="1201">
        <v>4378390.34</v>
      </c>
      <c r="J137" s="1201"/>
      <c r="K137" s="1201">
        <v>4890956.76</v>
      </c>
      <c r="L137" s="1201"/>
      <c r="M137" s="1201">
        <f t="shared" si="11"/>
        <v>-404049.17</v>
      </c>
      <c r="N137" s="1201"/>
      <c r="O137" s="1201">
        <v>4486907.59</v>
      </c>
      <c r="P137" s="2135"/>
      <c r="Q137" s="2859"/>
    </row>
    <row r="138" spans="2:17" s="2846" customFormat="1" ht="15.6">
      <c r="B138" s="2854">
        <v>21937</v>
      </c>
      <c r="C138" s="2868"/>
      <c r="D138" s="2888" t="s">
        <v>610</v>
      </c>
      <c r="E138" s="2870"/>
      <c r="F138" s="2870"/>
      <c r="G138" s="1201">
        <v>192869.29</v>
      </c>
      <c r="H138" s="1201"/>
      <c r="I138" s="1201">
        <v>159688.76999999999</v>
      </c>
      <c r="J138" s="1201"/>
      <c r="K138" s="1201">
        <v>47534.069999999898</v>
      </c>
      <c r="L138" s="1201"/>
      <c r="M138" s="1201">
        <f t="shared" si="11"/>
        <v>7110.94</v>
      </c>
      <c r="N138" s="1201"/>
      <c r="O138" s="1201">
        <v>54645.01</v>
      </c>
      <c r="P138" s="2135"/>
      <c r="Q138" s="2859"/>
    </row>
    <row r="139" spans="2:17" s="2846" customFormat="1" ht="15.6">
      <c r="B139" s="2854">
        <v>21945</v>
      </c>
      <c r="C139" s="2868"/>
      <c r="D139" s="2869" t="s">
        <v>611</v>
      </c>
      <c r="E139" s="2870"/>
      <c r="F139" s="2870"/>
      <c r="G139" s="1201">
        <v>0</v>
      </c>
      <c r="H139" s="1201"/>
      <c r="I139" s="1201">
        <v>0</v>
      </c>
      <c r="J139" s="1201"/>
      <c r="K139" s="1201">
        <v>0</v>
      </c>
      <c r="L139" s="1201"/>
      <c r="M139" s="1201">
        <f t="shared" si="11"/>
        <v>0</v>
      </c>
      <c r="N139" s="1201"/>
      <c r="O139" s="1201">
        <v>0</v>
      </c>
      <c r="P139" s="2135"/>
      <c r="Q139" s="2859"/>
    </row>
    <row r="140" spans="2:17" s="2846" customFormat="1" ht="15.6">
      <c r="B140" s="2854">
        <v>21959</v>
      </c>
      <c r="C140" s="2868"/>
      <c r="D140" s="2888" t="s">
        <v>612</v>
      </c>
      <c r="E140" s="2870"/>
      <c r="F140" s="2870"/>
      <c r="G140" s="1201">
        <v>0</v>
      </c>
      <c r="H140" s="1201"/>
      <c r="I140" s="1201">
        <v>0</v>
      </c>
      <c r="J140" s="1201"/>
      <c r="K140" s="1201">
        <v>0</v>
      </c>
      <c r="L140" s="1201"/>
      <c r="M140" s="1201">
        <f t="shared" si="11"/>
        <v>0</v>
      </c>
      <c r="N140" s="1201"/>
      <c r="O140" s="1201">
        <v>0</v>
      </c>
      <c r="P140" s="2135"/>
      <c r="Q140" s="2859"/>
    </row>
    <row r="141" spans="2:17" s="3033" customFormat="1" ht="15.6">
      <c r="B141" s="2871">
        <v>21961</v>
      </c>
      <c r="C141" s="2889"/>
      <c r="D141" s="2890" t="s">
        <v>1257</v>
      </c>
      <c r="E141" s="2874"/>
      <c r="F141" s="2874"/>
      <c r="G141" s="1201">
        <v>253688.44</v>
      </c>
      <c r="H141" s="1201"/>
      <c r="I141" s="1201">
        <v>250429.56</v>
      </c>
      <c r="J141" s="1201"/>
      <c r="K141" s="1201">
        <v>263765.07</v>
      </c>
      <c r="L141" s="1201"/>
      <c r="M141" s="1201">
        <f t="shared" si="11"/>
        <v>10948.45</v>
      </c>
      <c r="N141" s="1201"/>
      <c r="O141" s="1201">
        <v>274713.52</v>
      </c>
      <c r="P141" s="2135"/>
      <c r="Q141" s="3032"/>
    </row>
    <row r="142" spans="2:17" s="2846" customFormat="1" ht="15.6">
      <c r="B142" s="2854">
        <v>21962</v>
      </c>
      <c r="C142" s="2868"/>
      <c r="D142" s="2888" t="s">
        <v>613</v>
      </c>
      <c r="E142" s="2870"/>
      <c r="F142" s="2870"/>
      <c r="G142" s="1201">
        <v>7298287.7199999997</v>
      </c>
      <c r="H142" s="1201"/>
      <c r="I142" s="1201">
        <v>10985774.82</v>
      </c>
      <c r="J142" s="1201"/>
      <c r="K142" s="1201">
        <v>12000993.060000001</v>
      </c>
      <c r="L142" s="1201"/>
      <c r="M142" s="1201">
        <f t="shared" si="11"/>
        <v>-1327264.67</v>
      </c>
      <c r="N142" s="1201"/>
      <c r="O142" s="1201">
        <v>10673728.390000001</v>
      </c>
      <c r="P142" s="2135"/>
      <c r="Q142" s="2859"/>
    </row>
    <row r="143" spans="2:17" s="2846" customFormat="1" ht="15.6">
      <c r="B143" s="2854">
        <v>21978</v>
      </c>
      <c r="C143" s="2868"/>
      <c r="D143" s="2869" t="s">
        <v>614</v>
      </c>
      <c r="E143" s="2870"/>
      <c r="F143" s="2870"/>
      <c r="G143" s="1201">
        <v>4686143.8099999996</v>
      </c>
      <c r="H143" s="1201"/>
      <c r="I143" s="1201">
        <v>0</v>
      </c>
      <c r="J143" s="1201"/>
      <c r="K143" s="1201">
        <v>0</v>
      </c>
      <c r="L143" s="1201"/>
      <c r="M143" s="1201">
        <f t="shared" si="11"/>
        <v>0</v>
      </c>
      <c r="N143" s="1201"/>
      <c r="O143" s="1201">
        <v>0</v>
      </c>
      <c r="P143" s="2135"/>
      <c r="Q143" s="2859"/>
    </row>
    <row r="144" spans="2:17" s="2846" customFormat="1" ht="15.6">
      <c r="B144" s="2854">
        <v>21989</v>
      </c>
      <c r="C144" s="2868"/>
      <c r="D144" s="2869" t="s">
        <v>615</v>
      </c>
      <c r="E144" s="2870"/>
      <c r="F144" s="2870"/>
      <c r="G144" s="1201">
        <v>0</v>
      </c>
      <c r="H144" s="1201"/>
      <c r="I144" s="1201">
        <v>0</v>
      </c>
      <c r="J144" s="1201"/>
      <c r="K144" s="1201">
        <v>0</v>
      </c>
      <c r="L144" s="1201"/>
      <c r="M144" s="1201">
        <f t="shared" si="11"/>
        <v>0</v>
      </c>
      <c r="N144" s="1201"/>
      <c r="O144" s="1201">
        <v>0</v>
      </c>
      <c r="P144" s="2135"/>
      <c r="Q144" s="2859"/>
    </row>
    <row r="145" spans="2:17" s="2846" customFormat="1" ht="15.6">
      <c r="B145" s="2854">
        <v>22003</v>
      </c>
      <c r="C145" s="2868"/>
      <c r="D145" s="2869" t="s">
        <v>616</v>
      </c>
      <c r="E145" s="2870"/>
      <c r="F145" s="2870"/>
      <c r="G145" s="1201">
        <v>0</v>
      </c>
      <c r="H145" s="1201"/>
      <c r="I145" s="1201">
        <v>0</v>
      </c>
      <c r="J145" s="1201"/>
      <c r="K145" s="1201">
        <v>0</v>
      </c>
      <c r="L145" s="1201"/>
      <c r="M145" s="1201">
        <f t="shared" si="11"/>
        <v>0</v>
      </c>
      <c r="N145" s="1201"/>
      <c r="O145" s="1201">
        <v>0</v>
      </c>
      <c r="P145" s="2135"/>
      <c r="Q145" s="2859"/>
    </row>
    <row r="146" spans="2:17" s="2846" customFormat="1" ht="15.6">
      <c r="B146" s="2854">
        <v>22004</v>
      </c>
      <c r="C146" s="2868"/>
      <c r="D146" s="2888" t="s">
        <v>617</v>
      </c>
      <c r="E146" s="2870"/>
      <c r="F146" s="2870"/>
      <c r="G146" s="1201">
        <v>0</v>
      </c>
      <c r="H146" s="1201"/>
      <c r="I146" s="1201">
        <v>0</v>
      </c>
      <c r="J146" s="1201"/>
      <c r="K146" s="1201">
        <v>0</v>
      </c>
      <c r="L146" s="1201"/>
      <c r="M146" s="1201">
        <f t="shared" si="11"/>
        <v>0</v>
      </c>
      <c r="N146" s="1201"/>
      <c r="O146" s="1201">
        <v>0</v>
      </c>
      <c r="P146" s="2135"/>
      <c r="Q146" s="2859"/>
    </row>
    <row r="147" spans="2:17" s="2846" customFormat="1" ht="15.6">
      <c r="B147" s="2854">
        <v>22006</v>
      </c>
      <c r="C147" s="2868"/>
      <c r="D147" s="2869" t="s">
        <v>618</v>
      </c>
      <c r="E147" s="2870"/>
      <c r="F147" s="2870"/>
      <c r="G147" s="1201">
        <v>0</v>
      </c>
      <c r="H147" s="1201"/>
      <c r="I147" s="1201">
        <v>0</v>
      </c>
      <c r="J147" s="1201"/>
      <c r="K147" s="1201">
        <v>0</v>
      </c>
      <c r="L147" s="1201"/>
      <c r="M147" s="1201">
        <f t="shared" si="11"/>
        <v>0</v>
      </c>
      <c r="N147" s="1201"/>
      <c r="O147" s="1201">
        <v>0</v>
      </c>
      <c r="P147" s="2135"/>
      <c r="Q147" s="2859"/>
    </row>
    <row r="148" spans="2:17" s="2846" customFormat="1" ht="15.6">
      <c r="B148" s="2854">
        <v>22007</v>
      </c>
      <c r="C148" s="2868"/>
      <c r="D148" s="2888" t="s">
        <v>619</v>
      </c>
      <c r="E148" s="2870"/>
      <c r="F148" s="2870"/>
      <c r="G148" s="1201">
        <v>296753.95</v>
      </c>
      <c r="H148" s="1201"/>
      <c r="I148" s="1201">
        <v>209659.58</v>
      </c>
      <c r="J148" s="1201"/>
      <c r="K148" s="1201">
        <v>123298.75</v>
      </c>
      <c r="L148" s="1201"/>
      <c r="M148" s="1201">
        <f t="shared" si="11"/>
        <v>87207.06</v>
      </c>
      <c r="N148" s="1201"/>
      <c r="O148" s="1201">
        <v>210505.81</v>
      </c>
      <c r="P148" s="2135"/>
      <c r="Q148" s="2859"/>
    </row>
    <row r="149" spans="2:17" s="2846" customFormat="1" ht="15.6">
      <c r="B149" s="2854">
        <v>22008</v>
      </c>
      <c r="C149" s="2868"/>
      <c r="D149" s="2888" t="s">
        <v>1203</v>
      </c>
      <c r="E149" s="2870"/>
      <c r="F149" s="2870"/>
      <c r="G149" s="1201">
        <v>0</v>
      </c>
      <c r="H149" s="1201"/>
      <c r="I149" s="1201">
        <v>0</v>
      </c>
      <c r="J149" s="1201"/>
      <c r="K149" s="1201">
        <v>0</v>
      </c>
      <c r="L149" s="1201"/>
      <c r="M149" s="1201">
        <f t="shared" ref="M149" si="14">ROUND(SUM(O149)-SUM(K149),2)</f>
        <v>0</v>
      </c>
      <c r="N149" s="1201"/>
      <c r="O149" s="1201">
        <v>0</v>
      </c>
      <c r="P149" s="2135"/>
      <c r="Q149" s="2859"/>
    </row>
    <row r="150" spans="2:17" s="2846" customFormat="1" ht="15.6">
      <c r="B150" s="2854">
        <v>22009</v>
      </c>
      <c r="C150" s="2868"/>
      <c r="D150" s="2888" t="s">
        <v>620</v>
      </c>
      <c r="E150" s="2870"/>
      <c r="F150" s="2870"/>
      <c r="G150" s="1201">
        <v>36726.07</v>
      </c>
      <c r="H150" s="1201"/>
      <c r="I150" s="1201">
        <v>60302</v>
      </c>
      <c r="J150" s="1201"/>
      <c r="K150" s="1201">
        <v>89993.08</v>
      </c>
      <c r="L150" s="1201"/>
      <c r="M150" s="1201">
        <f t="shared" si="11"/>
        <v>8039.54</v>
      </c>
      <c r="N150" s="1201"/>
      <c r="O150" s="1201">
        <v>98032.62</v>
      </c>
      <c r="P150" s="2135"/>
      <c r="Q150" s="2859"/>
    </row>
    <row r="151" spans="2:17" s="3033" customFormat="1" ht="15.6">
      <c r="B151" s="2871">
        <v>22017</v>
      </c>
      <c r="C151" s="2889"/>
      <c r="D151" s="2890" t="s">
        <v>1258</v>
      </c>
      <c r="E151" s="2874"/>
      <c r="F151" s="2874"/>
      <c r="G151" s="1201">
        <v>0</v>
      </c>
      <c r="H151" s="1201"/>
      <c r="I151" s="1201">
        <v>0</v>
      </c>
      <c r="J151" s="1201"/>
      <c r="K151" s="1201">
        <v>0</v>
      </c>
      <c r="L151" s="1201"/>
      <c r="M151" s="1201">
        <f t="shared" si="11"/>
        <v>0</v>
      </c>
      <c r="N151" s="1201"/>
      <c r="O151" s="1201">
        <v>0</v>
      </c>
      <c r="P151" s="2135"/>
      <c r="Q151" s="3032"/>
    </row>
    <row r="152" spans="2:17" s="2846" customFormat="1" ht="15.6">
      <c r="B152" s="2854">
        <v>22032</v>
      </c>
      <c r="C152" s="2868"/>
      <c r="D152" s="2888" t="s">
        <v>621</v>
      </c>
      <c r="E152" s="2870"/>
      <c r="F152" s="2870"/>
      <c r="G152" s="1201">
        <v>7863057.6399999997</v>
      </c>
      <c r="H152" s="1201"/>
      <c r="I152" s="1201">
        <v>9045115.6300000008</v>
      </c>
      <c r="J152" s="1201"/>
      <c r="K152" s="1201">
        <v>10127397.33</v>
      </c>
      <c r="L152" s="1201"/>
      <c r="M152" s="1201">
        <f t="shared" si="11"/>
        <v>689098.74</v>
      </c>
      <c r="N152" s="1201"/>
      <c r="O152" s="1201">
        <v>10816496.07</v>
      </c>
      <c r="P152" s="2135"/>
      <c r="Q152" s="2859"/>
    </row>
    <row r="153" spans="2:17" s="2846" customFormat="1" ht="15.6">
      <c r="B153" s="2854">
        <v>22034</v>
      </c>
      <c r="C153" s="2868"/>
      <c r="D153" s="2888" t="s">
        <v>622</v>
      </c>
      <c r="E153" s="2870"/>
      <c r="F153" s="2870"/>
      <c r="G153" s="1201">
        <v>0</v>
      </c>
      <c r="H153" s="1201"/>
      <c r="I153" s="1201">
        <v>0</v>
      </c>
      <c r="J153" s="1201"/>
      <c r="K153" s="1201">
        <v>0</v>
      </c>
      <c r="L153" s="1201"/>
      <c r="M153" s="1201">
        <f t="shared" si="11"/>
        <v>0</v>
      </c>
      <c r="N153" s="1201"/>
      <c r="O153" s="1201">
        <v>0</v>
      </c>
      <c r="P153" s="2135"/>
      <c r="Q153" s="2859"/>
    </row>
    <row r="154" spans="2:17" s="2846" customFormat="1" ht="15.6">
      <c r="B154" s="2854">
        <v>22036</v>
      </c>
      <c r="C154" s="2868"/>
      <c r="D154" s="2888" t="s">
        <v>623</v>
      </c>
      <c r="E154" s="2870"/>
      <c r="F154" s="2870"/>
      <c r="G154" s="1201">
        <v>0</v>
      </c>
      <c r="H154" s="1201"/>
      <c r="I154" s="1201">
        <v>0</v>
      </c>
      <c r="J154" s="1201"/>
      <c r="K154" s="1201">
        <v>0</v>
      </c>
      <c r="L154" s="1201"/>
      <c r="M154" s="1201">
        <f t="shared" si="11"/>
        <v>0</v>
      </c>
      <c r="N154" s="1201"/>
      <c r="O154" s="1201">
        <v>0</v>
      </c>
      <c r="P154" s="2135"/>
      <c r="Q154" s="2859"/>
    </row>
    <row r="155" spans="2:17" s="2846" customFormat="1" ht="15.6">
      <c r="B155" s="2854">
        <v>22039</v>
      </c>
      <c r="C155" s="2868"/>
      <c r="D155" s="2888" t="s">
        <v>624</v>
      </c>
      <c r="E155" s="2870"/>
      <c r="F155" s="2870"/>
      <c r="G155" s="1201">
        <v>279704.78000000003</v>
      </c>
      <c r="H155" s="1201"/>
      <c r="I155" s="1201">
        <v>728310.88</v>
      </c>
      <c r="J155" s="1201"/>
      <c r="K155" s="1201">
        <v>1122472.9099999999</v>
      </c>
      <c r="L155" s="1201"/>
      <c r="M155" s="1201">
        <f t="shared" si="11"/>
        <v>-833363.75</v>
      </c>
      <c r="N155" s="1201"/>
      <c r="O155" s="1201">
        <v>289109.15999999997</v>
      </c>
      <c r="P155" s="2135"/>
      <c r="Q155" s="2859"/>
    </row>
    <row r="156" spans="2:17" s="2846" customFormat="1" ht="15.6">
      <c r="B156" s="2854">
        <v>22046</v>
      </c>
      <c r="C156" s="2868"/>
      <c r="D156" s="2888" t="s">
        <v>625</v>
      </c>
      <c r="E156" s="2870"/>
      <c r="F156" s="2870"/>
      <c r="G156" s="1201">
        <v>103496975.72</v>
      </c>
      <c r="H156" s="1201"/>
      <c r="I156" s="1201">
        <v>104482744.65000001</v>
      </c>
      <c r="J156" s="1201"/>
      <c r="K156" s="1201">
        <v>104910935.77</v>
      </c>
      <c r="L156" s="1201"/>
      <c r="M156" s="1201">
        <f t="shared" si="11"/>
        <v>939520.17</v>
      </c>
      <c r="N156" s="1201"/>
      <c r="O156" s="1201">
        <v>105850455.94</v>
      </c>
      <c r="P156" s="2135"/>
      <c r="Q156" s="2859"/>
    </row>
    <row r="157" spans="2:17" s="2846" customFormat="1" ht="15.6">
      <c r="B157" s="2854">
        <v>22053</v>
      </c>
      <c r="C157" s="2868"/>
      <c r="D157" s="2888" t="s">
        <v>626</v>
      </c>
      <c r="E157" s="2870"/>
      <c r="F157" s="2870"/>
      <c r="G157" s="1201">
        <v>4190735.32</v>
      </c>
      <c r="H157" s="1201"/>
      <c r="I157" s="1201">
        <v>5171204.62</v>
      </c>
      <c r="J157" s="1201"/>
      <c r="K157" s="1201">
        <v>5962603.0099999998</v>
      </c>
      <c r="L157" s="1201"/>
      <c r="M157" s="1201">
        <f t="shared" si="11"/>
        <v>425988.68</v>
      </c>
      <c r="N157" s="1201"/>
      <c r="O157" s="1201">
        <v>6388591.6900000004</v>
      </c>
      <c r="P157" s="2135"/>
      <c r="Q157" s="2859"/>
    </row>
    <row r="158" spans="2:17" s="2846" customFormat="1" ht="15.6">
      <c r="B158" s="2854">
        <v>22054</v>
      </c>
      <c r="C158" s="2868"/>
      <c r="D158" s="2888" t="s">
        <v>627</v>
      </c>
      <c r="E158" s="2870"/>
      <c r="F158" s="2870"/>
      <c r="G158" s="1201">
        <v>0</v>
      </c>
      <c r="H158" s="1201"/>
      <c r="I158" s="1201">
        <v>0</v>
      </c>
      <c r="J158" s="1201"/>
      <c r="K158" s="1201">
        <v>0</v>
      </c>
      <c r="L158" s="1201"/>
      <c r="M158" s="1201">
        <f t="shared" si="11"/>
        <v>0</v>
      </c>
      <c r="N158" s="1201"/>
      <c r="O158" s="1201">
        <v>0</v>
      </c>
      <c r="P158" s="2135"/>
      <c r="Q158" s="2859"/>
    </row>
    <row r="159" spans="2:17" s="2846" customFormat="1" ht="15.6">
      <c r="B159" s="2854">
        <v>22055</v>
      </c>
      <c r="C159" s="2868"/>
      <c r="D159" s="2888" t="s">
        <v>628</v>
      </c>
      <c r="E159" s="2870"/>
      <c r="F159" s="2870"/>
      <c r="G159" s="1201">
        <v>39302744.979999997</v>
      </c>
      <c r="H159" s="1201"/>
      <c r="I159" s="1201">
        <v>38098201.829999998</v>
      </c>
      <c r="J159" s="1201"/>
      <c r="K159" s="1201">
        <v>41616770.670000002</v>
      </c>
      <c r="L159" s="1201"/>
      <c r="M159" s="1201">
        <f t="shared" si="11"/>
        <v>-2653675.16</v>
      </c>
      <c r="N159" s="1201"/>
      <c r="O159" s="1201">
        <v>38963095.509999998</v>
      </c>
      <c r="P159" s="2135"/>
      <c r="Q159" s="2859"/>
    </row>
    <row r="160" spans="2:17" s="2846" customFormat="1" ht="15.6">
      <c r="B160" s="2854">
        <v>22056</v>
      </c>
      <c r="C160" s="2868"/>
      <c r="D160" s="2888" t="s">
        <v>629</v>
      </c>
      <c r="E160" s="2870"/>
      <c r="F160" s="2870"/>
      <c r="G160" s="1201">
        <v>1075567.99</v>
      </c>
      <c r="H160" s="1201"/>
      <c r="I160" s="1201">
        <v>1315723.8500000001</v>
      </c>
      <c r="J160" s="1201"/>
      <c r="K160" s="1201">
        <v>1513258.27</v>
      </c>
      <c r="L160" s="1201"/>
      <c r="M160" s="1201">
        <f t="shared" si="11"/>
        <v>119284.81</v>
      </c>
      <c r="N160" s="1201"/>
      <c r="O160" s="1201">
        <v>1632543.08</v>
      </c>
      <c r="P160" s="2135"/>
      <c r="Q160" s="2859"/>
    </row>
    <row r="161" spans="2:17" s="2846" customFormat="1" ht="15.6">
      <c r="B161" s="2854">
        <v>22062</v>
      </c>
      <c r="C161" s="2868"/>
      <c r="D161" s="2888" t="s">
        <v>630</v>
      </c>
      <c r="E161" s="2870"/>
      <c r="F161" s="2870"/>
      <c r="G161" s="1201">
        <v>0</v>
      </c>
      <c r="H161" s="1201"/>
      <c r="I161" s="1201">
        <v>0</v>
      </c>
      <c r="J161" s="1201"/>
      <c r="K161" s="1201">
        <v>0</v>
      </c>
      <c r="L161" s="1201"/>
      <c r="M161" s="1201">
        <f t="shared" si="11"/>
        <v>0</v>
      </c>
      <c r="N161" s="1201"/>
      <c r="O161" s="1201">
        <v>0</v>
      </c>
      <c r="P161" s="2135"/>
      <c r="Q161" s="2859"/>
    </row>
    <row r="162" spans="2:17" s="2846" customFormat="1" ht="15.6">
      <c r="B162" s="2854">
        <v>22063</v>
      </c>
      <c r="C162" s="2868"/>
      <c r="D162" s="2888" t="s">
        <v>631</v>
      </c>
      <c r="E162" s="2870"/>
      <c r="F162" s="2870"/>
      <c r="G162" s="1201">
        <v>0</v>
      </c>
      <c r="H162" s="1201"/>
      <c r="I162" s="1201">
        <v>0</v>
      </c>
      <c r="J162" s="1201"/>
      <c r="K162" s="1201">
        <v>0</v>
      </c>
      <c r="L162" s="1201"/>
      <c r="M162" s="1201">
        <f t="shared" si="11"/>
        <v>0</v>
      </c>
      <c r="N162" s="1201"/>
      <c r="O162" s="1201">
        <v>0</v>
      </c>
      <c r="P162" s="2135"/>
      <c r="Q162" s="2859"/>
    </row>
    <row r="163" spans="2:17" s="2846" customFormat="1" ht="15.6">
      <c r="B163" s="2854">
        <v>22078</v>
      </c>
      <c r="C163" s="2868"/>
      <c r="D163" s="2888" t="s">
        <v>632</v>
      </c>
      <c r="E163" s="2870"/>
      <c r="F163" s="2870"/>
      <c r="G163" s="1201">
        <v>0</v>
      </c>
      <c r="H163" s="1201"/>
      <c r="I163" s="1201">
        <v>0</v>
      </c>
      <c r="J163" s="1201"/>
      <c r="K163" s="1201">
        <v>0</v>
      </c>
      <c r="L163" s="1201"/>
      <c r="M163" s="1201">
        <f t="shared" si="11"/>
        <v>0</v>
      </c>
      <c r="N163" s="1201"/>
      <c r="O163" s="1201">
        <v>0</v>
      </c>
      <c r="P163" s="2135"/>
      <c r="Q163" s="2859"/>
    </row>
    <row r="164" spans="2:17" s="2846" customFormat="1" ht="15.6">
      <c r="B164" s="2854">
        <v>22085</v>
      </c>
      <c r="C164" s="2868"/>
      <c r="D164" s="2888" t="s">
        <v>633</v>
      </c>
      <c r="E164" s="2870"/>
      <c r="F164" s="2870"/>
      <c r="G164" s="1201">
        <v>3529238.47</v>
      </c>
      <c r="H164" s="1201"/>
      <c r="I164" s="1201">
        <v>3858546.65</v>
      </c>
      <c r="J164" s="1201"/>
      <c r="K164" s="1201">
        <v>4050484.57</v>
      </c>
      <c r="L164" s="1201"/>
      <c r="M164" s="1201">
        <f>ROUND(SUM(O164)-SUM(K164),2)</f>
        <v>176379.95</v>
      </c>
      <c r="N164" s="1201"/>
      <c r="O164" s="1201">
        <v>4226864.5199999996</v>
      </c>
      <c r="P164" s="2135"/>
      <c r="Q164" s="2859"/>
    </row>
    <row r="165" spans="2:17" s="2846" customFormat="1" ht="15.6">
      <c r="B165" s="2854">
        <v>22090</v>
      </c>
      <c r="C165" s="2868"/>
      <c r="D165" s="2888" t="s">
        <v>634</v>
      </c>
      <c r="E165" s="2870"/>
      <c r="F165" s="2870"/>
      <c r="G165" s="1201">
        <v>0</v>
      </c>
      <c r="H165" s="1201"/>
      <c r="I165" s="1201">
        <v>0</v>
      </c>
      <c r="J165" s="1201"/>
      <c r="K165" s="1201">
        <v>0</v>
      </c>
      <c r="L165" s="1201"/>
      <c r="M165" s="1201">
        <f t="shared" si="11"/>
        <v>0</v>
      </c>
      <c r="N165" s="1201"/>
      <c r="O165" s="1201">
        <v>0</v>
      </c>
      <c r="P165" s="2135"/>
      <c r="Q165" s="2859"/>
    </row>
    <row r="166" spans="2:17" s="2846" customFormat="1" ht="15.6">
      <c r="B166" s="2854">
        <v>22100</v>
      </c>
      <c r="C166" s="2868"/>
      <c r="D166" s="2888" t="s">
        <v>635</v>
      </c>
      <c r="E166" s="2870"/>
      <c r="F166" s="2870"/>
      <c r="G166" s="1201">
        <v>14157063.58</v>
      </c>
      <c r="H166" s="1201"/>
      <c r="I166" s="1201">
        <v>15412821.99</v>
      </c>
      <c r="J166" s="1201"/>
      <c r="K166" s="1201">
        <v>15705990.68</v>
      </c>
      <c r="L166" s="1201"/>
      <c r="M166" s="1201">
        <f t="shared" ref="M166:M182" si="15">ROUND(SUM(O166)-SUM(K166),2)</f>
        <v>168705.54</v>
      </c>
      <c r="N166" s="1201"/>
      <c r="O166" s="1201">
        <v>15874696.220000001</v>
      </c>
      <c r="P166" s="2135"/>
      <c r="Q166" s="2859"/>
    </row>
    <row r="167" spans="2:17" s="2846" customFormat="1" ht="15.6">
      <c r="B167" s="2854">
        <v>22130</v>
      </c>
      <c r="C167" s="2868"/>
      <c r="D167" s="2869" t="s">
        <v>636</v>
      </c>
      <c r="E167" s="2870"/>
      <c r="F167" s="2870"/>
      <c r="G167" s="1201">
        <v>0</v>
      </c>
      <c r="H167" s="1201"/>
      <c r="I167" s="1201">
        <v>0</v>
      </c>
      <c r="J167" s="1201"/>
      <c r="K167" s="1201">
        <v>0</v>
      </c>
      <c r="L167" s="1201"/>
      <c r="M167" s="1201">
        <f t="shared" si="15"/>
        <v>0</v>
      </c>
      <c r="N167" s="1201"/>
      <c r="O167" s="1201">
        <v>0</v>
      </c>
      <c r="P167" s="2135"/>
      <c r="Q167" s="2859"/>
    </row>
    <row r="168" spans="2:17" s="2846" customFormat="1" ht="15.6">
      <c r="B168" s="2854">
        <v>22135</v>
      </c>
      <c r="C168" s="2868"/>
      <c r="D168" s="2869" t="s">
        <v>637</v>
      </c>
      <c r="E168" s="2870"/>
      <c r="F168" s="2870"/>
      <c r="G168" s="1201">
        <v>0</v>
      </c>
      <c r="H168" s="1201"/>
      <c r="I168" s="1201">
        <v>0</v>
      </c>
      <c r="J168" s="1201"/>
      <c r="K168" s="1201">
        <v>0</v>
      </c>
      <c r="L168" s="1201"/>
      <c r="M168" s="1201">
        <f t="shared" si="15"/>
        <v>0</v>
      </c>
      <c r="N168" s="1201"/>
      <c r="O168" s="1201">
        <v>0</v>
      </c>
      <c r="P168" s="2135"/>
      <c r="Q168" s="2859"/>
    </row>
    <row r="169" spans="2:17" s="2846" customFormat="1" ht="15.6">
      <c r="B169" s="2854">
        <v>22144</v>
      </c>
      <c r="C169" s="2868"/>
      <c r="D169" s="2888" t="s">
        <v>638</v>
      </c>
      <c r="E169" s="2870"/>
      <c r="F169" s="2870"/>
      <c r="G169" s="1201">
        <v>0</v>
      </c>
      <c r="H169" s="1201"/>
      <c r="I169" s="1201">
        <v>0</v>
      </c>
      <c r="J169" s="1201"/>
      <c r="K169" s="1201">
        <v>0</v>
      </c>
      <c r="L169" s="1201"/>
      <c r="M169" s="1201">
        <f t="shared" si="15"/>
        <v>0</v>
      </c>
      <c r="N169" s="1201"/>
      <c r="O169" s="1201">
        <v>0</v>
      </c>
      <c r="P169" s="2135"/>
      <c r="Q169" s="2859"/>
    </row>
    <row r="170" spans="2:17" s="2846" customFormat="1" ht="15.6">
      <c r="B170" s="2854">
        <v>22151</v>
      </c>
      <c r="C170" s="2868"/>
      <c r="D170" s="2869" t="s">
        <v>639</v>
      </c>
      <c r="E170" s="2870"/>
      <c r="F170" s="2870"/>
      <c r="G170" s="1201">
        <v>196728.2</v>
      </c>
      <c r="H170" s="1201"/>
      <c r="I170" s="1201">
        <v>60184.78</v>
      </c>
      <c r="J170" s="1201"/>
      <c r="K170" s="1201">
        <v>130454.94</v>
      </c>
      <c r="L170" s="1201"/>
      <c r="M170" s="1201">
        <f t="shared" si="15"/>
        <v>77527.72</v>
      </c>
      <c r="N170" s="1201"/>
      <c r="O170" s="1201">
        <v>207982.66</v>
      </c>
      <c r="P170" s="2135"/>
      <c r="Q170" s="2859"/>
    </row>
    <row r="171" spans="2:17" s="2846" customFormat="1" ht="15.6">
      <c r="B171" s="2854">
        <v>22156</v>
      </c>
      <c r="C171" s="2868"/>
      <c r="D171" s="2869" t="s">
        <v>640</v>
      </c>
      <c r="E171" s="2870"/>
      <c r="F171" s="2870"/>
      <c r="G171" s="1201">
        <v>10762830.310000001</v>
      </c>
      <c r="H171" s="1201"/>
      <c r="I171" s="1201">
        <v>14379222.789999999</v>
      </c>
      <c r="J171" s="1201"/>
      <c r="K171" s="1201">
        <v>0</v>
      </c>
      <c r="L171" s="1201"/>
      <c r="M171" s="1201">
        <f t="shared" si="15"/>
        <v>0</v>
      </c>
      <c r="N171" s="1201"/>
      <c r="O171" s="1201">
        <v>0</v>
      </c>
      <c r="P171" s="2135"/>
      <c r="Q171" s="2859"/>
    </row>
    <row r="172" spans="2:17" s="2846" customFormat="1" ht="15.6">
      <c r="B172" s="2854">
        <v>22158</v>
      </c>
      <c r="C172" s="2868"/>
      <c r="D172" s="2888" t="s">
        <v>641</v>
      </c>
      <c r="E172" s="2870"/>
      <c r="F172" s="2870"/>
      <c r="G172" s="1201">
        <v>0</v>
      </c>
      <c r="H172" s="1201"/>
      <c r="I172" s="1201">
        <v>0</v>
      </c>
      <c r="J172" s="1201"/>
      <c r="K172" s="1201">
        <v>0</v>
      </c>
      <c r="L172" s="1201"/>
      <c r="M172" s="1201">
        <f t="shared" si="15"/>
        <v>0</v>
      </c>
      <c r="N172" s="1201"/>
      <c r="O172" s="1201">
        <v>0</v>
      </c>
      <c r="P172" s="2135"/>
      <c r="Q172" s="2859"/>
    </row>
    <row r="173" spans="2:17" s="2846" customFormat="1" ht="15.6">
      <c r="B173" s="2854">
        <v>22168</v>
      </c>
      <c r="C173" s="2868"/>
      <c r="D173" s="2888" t="s">
        <v>642</v>
      </c>
      <c r="E173" s="2870"/>
      <c r="F173" s="2870"/>
      <c r="G173" s="1201">
        <v>0</v>
      </c>
      <c r="H173" s="1201"/>
      <c r="I173" s="1201">
        <v>0</v>
      </c>
      <c r="J173" s="1201"/>
      <c r="K173" s="1201">
        <v>0</v>
      </c>
      <c r="L173" s="1201"/>
      <c r="M173" s="1201">
        <f t="shared" si="15"/>
        <v>0</v>
      </c>
      <c r="N173" s="1201"/>
      <c r="O173" s="1201">
        <v>0</v>
      </c>
      <c r="P173" s="2135"/>
      <c r="Q173" s="2859"/>
    </row>
    <row r="174" spans="2:17" s="3033" customFormat="1" ht="15.6">
      <c r="B174" s="2871">
        <v>22240</v>
      </c>
      <c r="C174" s="2889"/>
      <c r="D174" s="2890" t="s">
        <v>1259</v>
      </c>
      <c r="E174" s="2874"/>
      <c r="F174" s="2874"/>
      <c r="G174" s="1201">
        <v>2150141.5299999998</v>
      </c>
      <c r="H174" s="1201">
        <v>0</v>
      </c>
      <c r="I174" s="1201">
        <v>2367696.62</v>
      </c>
      <c r="J174" s="1201">
        <v>0</v>
      </c>
      <c r="K174" s="1201">
        <v>2507014.06</v>
      </c>
      <c r="L174" s="1201">
        <v>0</v>
      </c>
      <c r="M174" s="1201">
        <f t="shared" si="15"/>
        <v>114801.74</v>
      </c>
      <c r="N174" s="1201">
        <v>0</v>
      </c>
      <c r="O174" s="1201">
        <v>2621815.7999999998</v>
      </c>
      <c r="P174" s="2135"/>
      <c r="Q174" s="3032"/>
    </row>
    <row r="175" spans="2:17" s="3033" customFormat="1" ht="15.6">
      <c r="B175" s="2871">
        <v>22246</v>
      </c>
      <c r="C175" s="2889"/>
      <c r="D175" s="2890" t="s">
        <v>1380</v>
      </c>
      <c r="E175" s="2874"/>
      <c r="F175" s="2874"/>
      <c r="G175" s="1201">
        <v>0</v>
      </c>
      <c r="H175" s="1201">
        <v>0</v>
      </c>
      <c r="I175" s="1201">
        <v>0</v>
      </c>
      <c r="J175" s="1201">
        <v>0</v>
      </c>
      <c r="K175" s="1201">
        <v>0</v>
      </c>
      <c r="L175" s="1201">
        <v>0</v>
      </c>
      <c r="M175" s="1201">
        <v>0</v>
      </c>
      <c r="N175" s="1201">
        <v>0</v>
      </c>
      <c r="O175" s="1201">
        <v>0</v>
      </c>
      <c r="P175" s="2135"/>
      <c r="Q175" s="3032"/>
    </row>
    <row r="176" spans="2:17" s="2846" customFormat="1" ht="15.6">
      <c r="B176" s="2854">
        <v>22654</v>
      </c>
      <c r="C176" s="2868"/>
      <c r="D176" s="2869" t="s">
        <v>643</v>
      </c>
      <c r="E176" s="2870"/>
      <c r="F176" s="2870"/>
      <c r="G176" s="1201">
        <v>20684990.23</v>
      </c>
      <c r="H176" s="1201"/>
      <c r="I176" s="1201">
        <v>20685966</v>
      </c>
      <c r="J176" s="1201"/>
      <c r="K176" s="1201">
        <v>20687030.800000001</v>
      </c>
      <c r="L176" s="1201"/>
      <c r="M176" s="1201">
        <f t="shared" si="15"/>
        <v>1365.81</v>
      </c>
      <c r="N176" s="1201"/>
      <c r="O176" s="1201">
        <v>20688396.609999999</v>
      </c>
      <c r="P176" s="2135"/>
      <c r="Q176" s="2859"/>
    </row>
    <row r="177" spans="2:18" s="2846" customFormat="1" ht="15.6">
      <c r="B177" s="2854">
        <v>22751</v>
      </c>
      <c r="C177" s="2868"/>
      <c r="D177" s="2869" t="s">
        <v>1165</v>
      </c>
      <c r="E177" s="2870"/>
      <c r="F177" s="2870"/>
      <c r="G177" s="1201">
        <v>0</v>
      </c>
      <c r="H177" s="1201"/>
      <c r="I177" s="1201">
        <v>0</v>
      </c>
      <c r="J177" s="1201"/>
      <c r="K177" s="1201">
        <v>0</v>
      </c>
      <c r="L177" s="1201"/>
      <c r="M177" s="1201">
        <f>ROUND(SUM(O177)-SUM(K177),2)</f>
        <v>0</v>
      </c>
      <c r="N177" s="1201"/>
      <c r="O177" s="1201">
        <v>0</v>
      </c>
      <c r="P177" s="2135"/>
      <c r="Q177" s="2859"/>
    </row>
    <row r="178" spans="2:18" s="2846" customFormat="1" ht="15.6">
      <c r="B178" s="2854">
        <v>22802</v>
      </c>
      <c r="C178" s="2868"/>
      <c r="D178" s="2888" t="s">
        <v>644</v>
      </c>
      <c r="E178" s="2870"/>
      <c r="F178" s="2870"/>
      <c r="G178" s="1201">
        <v>0</v>
      </c>
      <c r="H178" s="1201"/>
      <c r="I178" s="1201">
        <v>0</v>
      </c>
      <c r="J178" s="1201"/>
      <c r="K178" s="1201">
        <v>0</v>
      </c>
      <c r="L178" s="1201"/>
      <c r="M178" s="1201">
        <f t="shared" si="15"/>
        <v>0</v>
      </c>
      <c r="N178" s="1201"/>
      <c r="O178" s="1201">
        <v>0</v>
      </c>
      <c r="P178" s="2135"/>
      <c r="Q178" s="2859"/>
    </row>
    <row r="179" spans="2:18" s="2846" customFormat="1" ht="15.6">
      <c r="B179" s="2854">
        <v>23001</v>
      </c>
      <c r="C179" s="2868"/>
      <c r="D179" s="2869" t="s">
        <v>645</v>
      </c>
      <c r="E179" s="2870"/>
      <c r="F179" s="2870"/>
      <c r="G179" s="1201">
        <v>18438204.34</v>
      </c>
      <c r="H179" s="1201"/>
      <c r="I179" s="1201">
        <v>18852773.449999999</v>
      </c>
      <c r="J179" s="1201"/>
      <c r="K179" s="1201">
        <v>19181264.449999999</v>
      </c>
      <c r="L179" s="1201"/>
      <c r="M179" s="1201">
        <f t="shared" si="15"/>
        <v>-75085.460000000006</v>
      </c>
      <c r="N179" s="1201"/>
      <c r="O179" s="1201">
        <v>19106178.989999998</v>
      </c>
      <c r="P179" s="2135"/>
      <c r="Q179" s="2859"/>
    </row>
    <row r="180" spans="2:18" s="2846" customFormat="1" ht="15.6">
      <c r="B180" s="2854">
        <v>23102</v>
      </c>
      <c r="C180" s="2868"/>
      <c r="D180" s="2888" t="s">
        <v>646</v>
      </c>
      <c r="E180" s="2870"/>
      <c r="F180" s="2870"/>
      <c r="G180" s="1201">
        <v>5350949.7</v>
      </c>
      <c r="H180" s="1201"/>
      <c r="I180" s="1201">
        <v>5350949.7</v>
      </c>
      <c r="J180" s="1201"/>
      <c r="K180" s="1201">
        <v>5350949.7</v>
      </c>
      <c r="L180" s="1201"/>
      <c r="M180" s="1201">
        <f t="shared" si="15"/>
        <v>0</v>
      </c>
      <c r="N180" s="1201"/>
      <c r="O180" s="1201">
        <v>5350949.7</v>
      </c>
      <c r="P180" s="2135"/>
      <c r="Q180" s="2859"/>
    </row>
    <row r="181" spans="2:18" s="2846" customFormat="1" ht="15.6">
      <c r="B181" s="2854">
        <v>23151</v>
      </c>
      <c r="C181" s="2868"/>
      <c r="D181" s="2869" t="s">
        <v>647</v>
      </c>
      <c r="E181" s="2870"/>
      <c r="F181" s="2870"/>
      <c r="G181" s="1201">
        <v>48825928.189999998</v>
      </c>
      <c r="H181" s="1201"/>
      <c r="I181" s="1201">
        <v>51105703.359999999</v>
      </c>
      <c r="J181" s="1201"/>
      <c r="K181" s="1201">
        <v>53451552.009999998</v>
      </c>
      <c r="L181" s="1201"/>
      <c r="M181" s="1201">
        <f t="shared" si="15"/>
        <v>2434913.9</v>
      </c>
      <c r="N181" s="1201"/>
      <c r="O181" s="1201">
        <v>55886465.909999996</v>
      </c>
      <c r="P181" s="2135"/>
      <c r="Q181" s="2859"/>
    </row>
    <row r="182" spans="2:18" s="2846" customFormat="1" ht="15.6">
      <c r="B182" s="2892">
        <v>23702</v>
      </c>
      <c r="C182" s="2868"/>
      <c r="D182" s="2888" t="s">
        <v>859</v>
      </c>
      <c r="E182" s="2870"/>
      <c r="F182" s="2870"/>
      <c r="G182" s="1201">
        <v>24828087.260000002</v>
      </c>
      <c r="H182" s="1201"/>
      <c r="I182" s="1201">
        <v>21367022.539999999</v>
      </c>
      <c r="J182" s="1201"/>
      <c r="K182" s="1201">
        <v>21790712.59</v>
      </c>
      <c r="L182" s="1201"/>
      <c r="M182" s="1201">
        <f t="shared" si="15"/>
        <v>305614.75</v>
      </c>
      <c r="N182" s="1201"/>
      <c r="O182" s="1201">
        <v>22096327.34</v>
      </c>
      <c r="P182" s="2135"/>
      <c r="Q182" s="2859"/>
    </row>
    <row r="183" spans="2:18" s="2846" customFormat="1" ht="15.6">
      <c r="B183" s="2892">
        <v>23801</v>
      </c>
      <c r="C183" s="2868"/>
      <c r="D183" s="2888" t="s">
        <v>1173</v>
      </c>
      <c r="E183" s="2870"/>
      <c r="F183" s="2870"/>
      <c r="G183" s="1201">
        <v>0</v>
      </c>
      <c r="H183" s="1201"/>
      <c r="I183" s="1201">
        <v>0</v>
      </c>
      <c r="J183" s="1201"/>
      <c r="K183" s="1201">
        <v>0</v>
      </c>
      <c r="L183" s="1201"/>
      <c r="M183" s="1201">
        <f>ROUND(SUM(O183)-SUM(K183),2)</f>
        <v>0</v>
      </c>
      <c r="N183" s="1201"/>
      <c r="O183" s="1201">
        <v>0</v>
      </c>
      <c r="P183" s="2866"/>
      <c r="Q183" s="2859"/>
    </row>
    <row r="184" spans="2:18" s="2846" customFormat="1" ht="15.6">
      <c r="B184" s="2892">
        <v>23806</v>
      </c>
      <c r="C184" s="2868"/>
      <c r="D184" s="2888" t="s">
        <v>1204</v>
      </c>
      <c r="E184" s="2870"/>
      <c r="F184" s="2870"/>
      <c r="G184" s="1201">
        <v>0</v>
      </c>
      <c r="H184" s="1201"/>
      <c r="I184" s="1201">
        <v>0</v>
      </c>
      <c r="J184" s="1201"/>
      <c r="K184" s="1201">
        <v>0</v>
      </c>
      <c r="L184" s="1201"/>
      <c r="M184" s="1201">
        <f t="shared" ref="M184:M185" si="16">ROUND(SUM(O184)-SUM(K184),2)</f>
        <v>0</v>
      </c>
      <c r="N184" s="1201"/>
      <c r="O184" s="1201">
        <v>0</v>
      </c>
      <c r="P184" s="2866"/>
      <c r="Q184" s="2859"/>
    </row>
    <row r="185" spans="2:18" s="2846" customFormat="1" ht="15.6">
      <c r="B185" s="2892">
        <v>24951</v>
      </c>
      <c r="C185" s="2868"/>
      <c r="D185" s="2888" t="s">
        <v>1205</v>
      </c>
      <c r="E185" s="2870"/>
      <c r="F185" s="2870"/>
      <c r="G185" s="1201">
        <v>123255.43</v>
      </c>
      <c r="H185" s="1201"/>
      <c r="I185" s="1201">
        <v>98229.26</v>
      </c>
      <c r="J185" s="1201"/>
      <c r="K185" s="1201">
        <v>33267.86</v>
      </c>
      <c r="L185" s="1201"/>
      <c r="M185" s="1201">
        <f t="shared" si="16"/>
        <v>0</v>
      </c>
      <c r="N185" s="1201"/>
      <c r="O185" s="1201">
        <v>33267.86</v>
      </c>
      <c r="P185" s="2866"/>
      <c r="Q185" s="2859"/>
    </row>
    <row r="186" spans="2:18" s="2846" customFormat="1" ht="16.2" thickBot="1">
      <c r="B186" s="2876"/>
      <c r="C186" s="2848"/>
      <c r="D186" s="2861" t="s">
        <v>648</v>
      </c>
      <c r="E186" s="2850"/>
      <c r="F186" s="2850"/>
      <c r="G186" s="1561">
        <f>ROUND(SUM(G105:G185),2)</f>
        <v>1832917392.6099999</v>
      </c>
      <c r="H186" s="1454"/>
      <c r="I186" s="1561">
        <f>ROUND(SUM(I105:I185),2)</f>
        <v>1542662837.8099999</v>
      </c>
      <c r="J186" s="2105"/>
      <c r="K186" s="1561">
        <f>ROUND(SUM(K105:K185),2)</f>
        <v>1254251184.7</v>
      </c>
      <c r="L186" s="2484"/>
      <c r="M186" s="1561">
        <f>ROUND(SUM(M105:M185),2)</f>
        <v>28032279.629999999</v>
      </c>
      <c r="N186" s="2484"/>
      <c r="O186" s="1561">
        <f>ROUND(SUM(O105:O185),2)</f>
        <v>1282283464.3299999</v>
      </c>
      <c r="P186" s="2866"/>
      <c r="Q186" s="2859"/>
    </row>
    <row r="187" spans="2:18" s="2846" customFormat="1" ht="16.2" thickTop="1">
      <c r="B187" s="2893"/>
      <c r="C187" s="2878"/>
      <c r="D187" s="2894"/>
      <c r="E187" s="2868"/>
      <c r="F187" s="2868"/>
      <c r="G187" s="1201"/>
      <c r="H187" s="3054"/>
      <c r="I187" s="2135"/>
      <c r="J187" s="3054"/>
      <c r="K187" s="2135"/>
      <c r="L187" s="3054"/>
      <c r="M187" s="1201"/>
      <c r="N187" s="3054"/>
      <c r="O187" s="2135"/>
      <c r="P187" s="2866"/>
      <c r="Q187" s="2859"/>
    </row>
    <row r="188" spans="2:18" s="2846" customFormat="1" ht="15.6">
      <c r="B188" s="2893"/>
      <c r="C188" s="2848"/>
      <c r="D188" s="2861" t="s">
        <v>649</v>
      </c>
      <c r="E188" s="2850"/>
      <c r="F188" s="2850"/>
      <c r="G188" s="1201"/>
      <c r="H188" s="3054"/>
      <c r="I188" s="2135"/>
      <c r="J188" s="3054"/>
      <c r="K188" s="2135"/>
      <c r="L188" s="3054"/>
      <c r="M188" s="1202"/>
      <c r="N188" s="3452"/>
      <c r="O188" s="2135"/>
      <c r="P188" s="2866"/>
      <c r="Q188" s="3032"/>
      <c r="R188" s="3033"/>
    </row>
    <row r="189" spans="2:18" s="3033" customFormat="1" ht="15.6">
      <c r="B189" s="2898" t="s">
        <v>650</v>
      </c>
      <c r="C189" s="3894"/>
      <c r="D189" s="2891" t="s">
        <v>651</v>
      </c>
      <c r="E189" s="3031"/>
      <c r="F189" s="3031"/>
      <c r="G189" s="3895">
        <v>109103836.61999999</v>
      </c>
      <c r="H189" s="1201"/>
      <c r="I189" s="3895">
        <v>152301080.24000001</v>
      </c>
      <c r="J189" s="1201"/>
      <c r="K189" s="3895">
        <v>53717092.780000001</v>
      </c>
      <c r="L189" s="1201"/>
      <c r="M189" s="1201">
        <f>ROUND(SUM(O189)-SUM(K189),2)</f>
        <v>-9080696.9100000001</v>
      </c>
      <c r="N189" s="1201"/>
      <c r="O189" s="3895">
        <v>44636395.869999997</v>
      </c>
      <c r="P189" s="2866"/>
      <c r="Q189" s="3032"/>
    </row>
    <row r="190" spans="2:18" s="3033" customFormat="1" ht="15.6">
      <c r="B190" s="2898" t="s">
        <v>652</v>
      </c>
      <c r="C190" s="3894"/>
      <c r="D190" s="2891" t="s">
        <v>653</v>
      </c>
      <c r="E190" s="3031"/>
      <c r="F190" s="3031"/>
      <c r="G190" s="3895">
        <v>296489150.69999999</v>
      </c>
      <c r="H190" s="1201"/>
      <c r="I190" s="3895">
        <v>838385718.19000006</v>
      </c>
      <c r="J190" s="1201"/>
      <c r="K190" s="3895">
        <v>310939085.04000002</v>
      </c>
      <c r="L190" s="1201"/>
      <c r="M190" s="1201">
        <f t="shared" ref="M190:M193" si="17">ROUND(SUM(O190)-SUM(K190),2)</f>
        <v>195849232.84</v>
      </c>
      <c r="N190" s="1201"/>
      <c r="O190" s="3895">
        <v>506788317.87999994</v>
      </c>
      <c r="P190" s="2866"/>
      <c r="Q190" s="3032"/>
    </row>
    <row r="191" spans="2:18" s="3033" customFormat="1" ht="15.6">
      <c r="B191" s="2898" t="s">
        <v>654</v>
      </c>
      <c r="C191" s="3894"/>
      <c r="D191" s="2890" t="s">
        <v>655</v>
      </c>
      <c r="E191" s="3031"/>
      <c r="F191" s="3031"/>
      <c r="G191" s="3895">
        <v>131842765.97</v>
      </c>
      <c r="H191" s="1201"/>
      <c r="I191" s="3895">
        <v>61286986.759999998</v>
      </c>
      <c r="J191" s="1201"/>
      <c r="K191" s="3895">
        <v>115976230.87</v>
      </c>
      <c r="L191" s="1201"/>
      <c r="M191" s="1201">
        <f t="shared" si="17"/>
        <v>-44794431.329999998</v>
      </c>
      <c r="N191" s="1201"/>
      <c r="O191" s="3895">
        <v>71181799.539999992</v>
      </c>
      <c r="P191" s="2866"/>
      <c r="Q191" s="3032"/>
    </row>
    <row r="192" spans="2:18" s="3033" customFormat="1" ht="15.6">
      <c r="B192" s="2898" t="s">
        <v>656</v>
      </c>
      <c r="C192" s="2890"/>
      <c r="D192" s="2891" t="s">
        <v>657</v>
      </c>
      <c r="E192" s="3031"/>
      <c r="F192" s="3031"/>
      <c r="G192" s="3895">
        <v>561827467.67000008</v>
      </c>
      <c r="H192" s="1201"/>
      <c r="I192" s="3895">
        <v>528907457.64999998</v>
      </c>
      <c r="J192" s="1201"/>
      <c r="K192" s="3895">
        <v>584367368.08000004</v>
      </c>
      <c r="L192" s="1201"/>
      <c r="M192" s="1201">
        <f t="shared" si="17"/>
        <v>-54097171.689999998</v>
      </c>
      <c r="N192" s="1201"/>
      <c r="O192" s="3895">
        <v>530270196.38999993</v>
      </c>
      <c r="P192" s="2866"/>
      <c r="Q192" s="3032"/>
    </row>
    <row r="193" spans="2:18" s="3033" customFormat="1" ht="15.6">
      <c r="B193" s="2871">
        <v>31351</v>
      </c>
      <c r="C193" s="2890"/>
      <c r="D193" s="2891" t="s">
        <v>658</v>
      </c>
      <c r="E193" s="3031"/>
      <c r="F193" s="3031"/>
      <c r="G193" s="3780">
        <v>8753932.6600000001</v>
      </c>
      <c r="I193" s="3780">
        <v>8753932.6600000001</v>
      </c>
      <c r="K193" s="3780">
        <v>8753932.6600000001</v>
      </c>
      <c r="L193" s="1201"/>
      <c r="M193" s="1201">
        <f t="shared" si="17"/>
        <v>0</v>
      </c>
      <c r="N193" s="1201"/>
      <c r="O193" s="3780">
        <v>8753932.6600000001</v>
      </c>
      <c r="P193" s="2881"/>
      <c r="Q193" s="3032"/>
    </row>
    <row r="194" spans="2:18" s="3033" customFormat="1" ht="15.6">
      <c r="B194" s="2788">
        <v>31354</v>
      </c>
      <c r="C194" s="3034"/>
      <c r="D194" s="2873" t="s">
        <v>659</v>
      </c>
      <c r="E194" s="3031"/>
      <c r="F194" s="3031"/>
      <c r="G194" s="3780">
        <v>1028538605.649</v>
      </c>
      <c r="I194" s="3780">
        <v>872994269.17900002</v>
      </c>
      <c r="K194" s="3780">
        <v>842231775.77499998</v>
      </c>
      <c r="L194" s="1201"/>
      <c r="M194" s="1201">
        <f>ROUND(SUM(O194)-SUM(K194),2)</f>
        <v>-37588991.68</v>
      </c>
      <c r="N194" s="1201"/>
      <c r="O194" s="3780">
        <v>804642784.09500003</v>
      </c>
      <c r="P194" s="2895"/>
      <c r="Q194" s="3032"/>
    </row>
    <row r="195" spans="2:18" s="3033" customFormat="1" ht="15.6">
      <c r="B195" s="3035" t="s">
        <v>660</v>
      </c>
      <c r="C195" s="2889"/>
      <c r="D195" s="2891" t="s">
        <v>661</v>
      </c>
      <c r="E195" s="3031"/>
      <c r="F195" s="3031"/>
      <c r="G195" s="3780">
        <v>114325383.82999989</v>
      </c>
      <c r="H195" s="1201" t="s">
        <v>14</v>
      </c>
      <c r="I195" s="3780">
        <v>109152004.56999999</v>
      </c>
      <c r="J195" s="1201" t="s">
        <v>14</v>
      </c>
      <c r="K195" s="3780">
        <v>111260271.34</v>
      </c>
      <c r="L195" s="1201"/>
      <c r="M195" s="1201">
        <f>ROUND(SUM(O195)-SUM(K195),2)</f>
        <v>-9930818.1899999995</v>
      </c>
      <c r="N195" s="1201"/>
      <c r="O195" s="3780">
        <v>101329453.14999995</v>
      </c>
      <c r="P195" s="3036"/>
      <c r="Q195" s="3032"/>
    </row>
    <row r="196" spans="2:18" s="3033" customFormat="1" ht="15.6">
      <c r="B196" s="3896" t="s">
        <v>860</v>
      </c>
      <c r="C196" s="2889"/>
      <c r="D196" s="2891" t="s">
        <v>861</v>
      </c>
      <c r="E196" s="3897"/>
      <c r="F196" s="3897"/>
      <c r="G196" s="3780">
        <v>17253060.43</v>
      </c>
      <c r="H196" s="1201"/>
      <c r="I196" s="3780">
        <v>39830610.200000003</v>
      </c>
      <c r="J196" s="1201"/>
      <c r="K196" s="3780">
        <v>81346923.769999996</v>
      </c>
      <c r="L196" s="1201"/>
      <c r="M196" s="1201">
        <f>ROUND(SUM(O196)-SUM(K196),2)</f>
        <v>-10413455.789999999</v>
      </c>
      <c r="N196" s="1201"/>
      <c r="O196" s="3780">
        <v>70933467.980000004</v>
      </c>
      <c r="P196" s="2898"/>
      <c r="Q196" s="3032"/>
    </row>
    <row r="197" spans="2:18" s="3033" customFormat="1" ht="15.6">
      <c r="B197" s="2899">
        <v>25950</v>
      </c>
      <c r="C197" s="2889"/>
      <c r="D197" s="2891" t="s">
        <v>662</v>
      </c>
      <c r="E197" s="2900"/>
      <c r="F197" s="2900"/>
      <c r="G197" s="3780">
        <v>439100.14</v>
      </c>
      <c r="I197" s="3780">
        <v>481531.64</v>
      </c>
      <c r="K197" s="3780">
        <v>591454.11</v>
      </c>
      <c r="L197" s="1201"/>
      <c r="M197" s="1201">
        <f>ROUND(SUM(O197)-SUM(K197),2)</f>
        <v>-95525.39</v>
      </c>
      <c r="N197" s="1201"/>
      <c r="O197" s="3780">
        <v>495928.72</v>
      </c>
      <c r="P197" s="2898"/>
      <c r="Q197" s="3032"/>
    </row>
    <row r="198" spans="2:18" s="3033" customFormat="1" ht="15.6">
      <c r="B198" s="3896" t="s">
        <v>1150</v>
      </c>
      <c r="C198" s="2889"/>
      <c r="D198" s="2890" t="s">
        <v>862</v>
      </c>
      <c r="E198" s="3897"/>
      <c r="F198" s="3897"/>
      <c r="G198" s="2135">
        <v>2224327.08</v>
      </c>
      <c r="H198" s="1201"/>
      <c r="I198" s="2135">
        <v>7472378.9500000002</v>
      </c>
      <c r="J198" s="1201"/>
      <c r="K198" s="2135">
        <v>1236067.1100000001</v>
      </c>
      <c r="L198" s="1201"/>
      <c r="M198" s="1201">
        <f t="shared" ref="M198" si="18">ROUND(SUM(O198)-SUM(K198),2)</f>
        <v>4622829.26</v>
      </c>
      <c r="N198" s="1201"/>
      <c r="O198" s="2135">
        <v>5858896.3700000001</v>
      </c>
      <c r="P198" s="2898"/>
      <c r="Q198" s="3032"/>
    </row>
    <row r="199" spans="2:18" s="2846" customFormat="1" ht="16.2" thickBot="1">
      <c r="B199" s="2901"/>
      <c r="C199" s="2862"/>
      <c r="D199" s="2861" t="s">
        <v>663</v>
      </c>
      <c r="E199" s="2863"/>
      <c r="F199" s="2863"/>
      <c r="G199" s="1561">
        <f>ROUND(SUM(G189:G198),2)</f>
        <v>2270797630.75</v>
      </c>
      <c r="H199" s="2105"/>
      <c r="I199" s="1561">
        <f>ROUND(SUM(I189:I198),2)</f>
        <v>2619565970.04</v>
      </c>
      <c r="J199" s="2105"/>
      <c r="K199" s="1561">
        <f>ROUND(SUM(K189:K198),2)</f>
        <v>2110420201.54</v>
      </c>
      <c r="L199" s="2496"/>
      <c r="M199" s="1203">
        <f>ROUND(SUM(M189:M198),2)</f>
        <v>34470971.119999997</v>
      </c>
      <c r="N199" s="2496"/>
      <c r="O199" s="1561">
        <f>ROUND(SUM(O189:O198),2)</f>
        <v>2144891172.6600001</v>
      </c>
      <c r="P199" s="2895" t="s">
        <v>112</v>
      </c>
      <c r="Q199" s="3032"/>
      <c r="R199" s="3033"/>
    </row>
    <row r="200" spans="2:18" s="2846" customFormat="1" ht="16.2" thickTop="1">
      <c r="B200" s="2876"/>
      <c r="C200" s="2862"/>
      <c r="D200" s="2874"/>
      <c r="E200" s="2863"/>
      <c r="F200" s="2863"/>
      <c r="G200" s="1202"/>
      <c r="H200" s="3452"/>
      <c r="I200" s="2902"/>
      <c r="J200" s="3452"/>
      <c r="K200" s="2902"/>
      <c r="L200" s="3452"/>
      <c r="M200" s="1202"/>
      <c r="N200" s="3452"/>
      <c r="O200" s="2902"/>
      <c r="P200" s="3035"/>
      <c r="Q200" s="3032"/>
      <c r="R200" s="3033"/>
    </row>
    <row r="201" spans="2:18" s="2846" customFormat="1" ht="15.6">
      <c r="B201" s="2893"/>
      <c r="C201" s="2862"/>
      <c r="D201" s="2849" t="s">
        <v>664</v>
      </c>
      <c r="E201" s="2863"/>
      <c r="F201" s="2863"/>
      <c r="G201" s="1201"/>
      <c r="H201" s="2884"/>
      <c r="I201" s="2135"/>
      <c r="J201" s="2884"/>
      <c r="K201" s="2135"/>
      <c r="L201" s="2884"/>
      <c r="M201" s="1202"/>
      <c r="N201" s="1471"/>
      <c r="O201" s="2135"/>
      <c r="P201" s="2903"/>
      <c r="Q201" s="2859"/>
    </row>
    <row r="202" spans="2:18" s="2846" customFormat="1" ht="15.6">
      <c r="B202" s="2871">
        <v>60201</v>
      </c>
      <c r="C202" s="2848"/>
      <c r="D202" s="2869" t="s">
        <v>665</v>
      </c>
      <c r="E202" s="2863"/>
      <c r="F202" s="2863"/>
      <c r="G202" s="1201">
        <v>0</v>
      </c>
      <c r="H202" s="1201"/>
      <c r="I202" s="1201">
        <v>0</v>
      </c>
      <c r="J202" s="1201"/>
      <c r="K202" s="1201">
        <v>0</v>
      </c>
      <c r="L202" s="1201"/>
      <c r="M202" s="1201">
        <f>ROUND(SUM(O202)-SUM(K202),2)</f>
        <v>0</v>
      </c>
      <c r="N202" s="1201"/>
      <c r="O202" s="1201">
        <v>0</v>
      </c>
      <c r="P202" s="2903"/>
      <c r="Q202" s="2859"/>
    </row>
    <row r="203" spans="2:18" s="2846" customFormat="1" ht="15.6">
      <c r="B203" s="2854">
        <v>60901</v>
      </c>
      <c r="C203" s="2868"/>
      <c r="D203" s="2888" t="s">
        <v>883</v>
      </c>
      <c r="E203" s="2870"/>
      <c r="F203" s="2870"/>
      <c r="G203" s="1201">
        <v>0</v>
      </c>
      <c r="H203" s="1201"/>
      <c r="I203" s="1201">
        <v>0</v>
      </c>
      <c r="J203" s="1201"/>
      <c r="K203" s="1201">
        <v>0</v>
      </c>
      <c r="L203" s="1201"/>
      <c r="M203" s="1201">
        <f>ROUND(SUM(O203)-SUM(K203),2)</f>
        <v>0</v>
      </c>
      <c r="N203" s="1201"/>
      <c r="O203" s="1201">
        <v>0</v>
      </c>
      <c r="P203" s="2903"/>
      <c r="Q203" s="2859" t="s">
        <v>14</v>
      </c>
    </row>
    <row r="204" spans="2:18" s="2846" customFormat="1" ht="16.2" thickBot="1">
      <c r="B204" s="2892"/>
      <c r="C204" s="2848"/>
      <c r="D204" s="2849" t="s">
        <v>666</v>
      </c>
      <c r="E204" s="2863"/>
      <c r="F204" s="2863"/>
      <c r="G204" s="1561">
        <f>ROUND(SUM(G202:G203),2)</f>
        <v>0</v>
      </c>
      <c r="H204" s="1454"/>
      <c r="I204" s="1564">
        <f>ROUND(SUM(I202:I203),2)</f>
        <v>0</v>
      </c>
      <c r="J204" s="1454"/>
      <c r="K204" s="1564">
        <f>ROUND(SUM(K202:K203),2)</f>
        <v>0</v>
      </c>
      <c r="L204" s="1454"/>
      <c r="M204" s="1203">
        <f>ROUND(SUM(M202:M203),2)</f>
        <v>0</v>
      </c>
      <c r="N204" s="1454"/>
      <c r="O204" s="1564">
        <f>ROUND(SUM(O202:O203),2)</f>
        <v>0</v>
      </c>
      <c r="P204" s="2866"/>
      <c r="Q204" s="2859"/>
    </row>
    <row r="205" spans="2:18" s="2846" customFormat="1" ht="16.2" thickTop="1">
      <c r="B205" s="2892"/>
      <c r="C205" s="2904"/>
      <c r="D205" s="2904"/>
      <c r="E205" s="2905"/>
      <c r="F205" s="2905"/>
      <c r="G205" s="1201"/>
      <c r="H205" s="2884"/>
      <c r="I205" s="2135"/>
      <c r="J205" s="2884"/>
      <c r="K205" s="2135"/>
      <c r="L205" s="2884"/>
      <c r="M205" s="1201"/>
      <c r="N205" s="2884"/>
      <c r="O205" s="2135"/>
      <c r="P205" s="2860"/>
      <c r="Q205" s="2859"/>
    </row>
    <row r="206" spans="2:18" s="2846" customFormat="1" ht="15.6">
      <c r="B206" s="2892"/>
      <c r="C206" s="2877"/>
      <c r="D206" s="2849" t="s">
        <v>667</v>
      </c>
      <c r="E206" s="2883"/>
      <c r="F206" s="2883"/>
      <c r="G206" s="1201"/>
      <c r="H206" s="2884"/>
      <c r="I206" s="2135"/>
      <c r="J206" s="2884"/>
      <c r="K206" s="2135"/>
      <c r="L206" s="2884"/>
      <c r="M206" s="1204"/>
      <c r="N206" s="2906"/>
      <c r="O206" s="2135"/>
      <c r="P206" s="2896"/>
      <c r="Q206" s="2859"/>
    </row>
    <row r="207" spans="2:18" s="2846" customFormat="1" ht="15.6">
      <c r="B207" s="2854">
        <v>50318</v>
      </c>
      <c r="C207" s="2878"/>
      <c r="D207" s="2890" t="s">
        <v>668</v>
      </c>
      <c r="E207" s="2853"/>
      <c r="F207" s="2853"/>
      <c r="G207" s="1201">
        <v>1256831.31</v>
      </c>
      <c r="H207" s="1201"/>
      <c r="I207" s="1201">
        <v>1311531.8899999999</v>
      </c>
      <c r="J207" s="1201"/>
      <c r="K207" s="1201">
        <v>1344051.42</v>
      </c>
      <c r="L207" s="1201"/>
      <c r="M207" s="1201">
        <f>ROUND(SUM(O207)-SUM(K207),2)</f>
        <v>54640.69</v>
      </c>
      <c r="N207" s="1201"/>
      <c r="O207" s="1201">
        <v>1398692.11</v>
      </c>
      <c r="P207" s="2903"/>
      <c r="Q207" s="2859"/>
    </row>
    <row r="208" spans="2:18" s="2846" customFormat="1" ht="15.6">
      <c r="B208" s="2854">
        <v>50327</v>
      </c>
      <c r="C208" s="2878"/>
      <c r="D208" s="2890" t="s">
        <v>1161</v>
      </c>
      <c r="E208" s="2853"/>
      <c r="F208" s="2853"/>
      <c r="G208" s="1201">
        <v>333759.13</v>
      </c>
      <c r="H208" s="1201"/>
      <c r="I208" s="1201">
        <v>351011.44</v>
      </c>
      <c r="J208" s="1201"/>
      <c r="K208" s="1201">
        <v>346714.64</v>
      </c>
      <c r="L208" s="1201"/>
      <c r="M208" s="1201">
        <f>ROUND(SUM(O208)-SUM(K208),2)</f>
        <v>10973.94</v>
      </c>
      <c r="N208" s="1201"/>
      <c r="O208" s="1201">
        <v>357688.58</v>
      </c>
      <c r="P208" s="2903"/>
      <c r="Q208" s="2859"/>
    </row>
    <row r="209" spans="2:17" s="2846" customFormat="1" ht="16.2" thickBot="1">
      <c r="B209" s="2907"/>
      <c r="C209" s="2848"/>
      <c r="D209" s="2861" t="s">
        <v>669</v>
      </c>
      <c r="E209" s="2850"/>
      <c r="F209" s="2850"/>
      <c r="G209" s="1561">
        <f>ROUND(SUM(G207:G208),2)</f>
        <v>1590590.44</v>
      </c>
      <c r="H209" s="1454"/>
      <c r="I209" s="2908">
        <f>ROUND(SUM(I207:I208),2)</f>
        <v>1662543.33</v>
      </c>
      <c r="J209" s="1454"/>
      <c r="K209" s="2908">
        <f>ROUND(SUM(K207:K208),2)</f>
        <v>1690766.06</v>
      </c>
      <c r="L209" s="1454"/>
      <c r="M209" s="1472">
        <f>ROUND(SUM(M207:M208),2)</f>
        <v>65614.63</v>
      </c>
      <c r="N209" s="1454"/>
      <c r="O209" s="3559">
        <f>ROUND(SUM(O207:O208),2)</f>
        <v>1756380.69</v>
      </c>
      <c r="P209" s="2881"/>
      <c r="Q209" s="2859"/>
    </row>
    <row r="210" spans="2:17" s="2846" customFormat="1" ht="16.2" thickTop="1">
      <c r="B210" s="2878"/>
      <c r="C210" s="2878"/>
      <c r="D210" s="2909"/>
      <c r="E210" s="2853"/>
      <c r="F210" s="2853"/>
      <c r="G210" s="1473"/>
      <c r="H210" s="1473"/>
      <c r="I210" s="2910"/>
      <c r="J210" s="1473"/>
      <c r="K210" s="2910"/>
      <c r="L210" s="1473"/>
      <c r="M210" s="1473"/>
      <c r="N210" s="1473"/>
      <c r="O210" s="2135"/>
      <c r="P210" s="2901"/>
      <c r="Q210" s="2859"/>
    </row>
    <row r="211" spans="2:17" s="2846" customFormat="1" ht="15.6">
      <c r="B211" s="2847"/>
      <c r="C211" s="2848"/>
      <c r="D211" s="2849" t="s">
        <v>219</v>
      </c>
      <c r="E211" s="2850"/>
      <c r="F211" s="2850"/>
      <c r="G211" s="2884"/>
      <c r="H211" s="2884"/>
      <c r="I211" s="2885"/>
      <c r="J211" s="2884"/>
      <c r="K211" s="2885"/>
      <c r="L211" s="2884"/>
      <c r="M211" s="1471"/>
      <c r="N211" s="1471"/>
      <c r="O211" s="3558"/>
      <c r="P211" s="2853"/>
      <c r="Q211" s="2859"/>
    </row>
    <row r="212" spans="2:17" s="2846" customFormat="1" ht="15.6">
      <c r="B212" s="2854">
        <v>55001</v>
      </c>
      <c r="C212" s="2878"/>
      <c r="D212" s="2890" t="s">
        <v>1449</v>
      </c>
      <c r="E212" s="2853"/>
      <c r="F212" s="2853"/>
      <c r="G212" s="1201">
        <v>0</v>
      </c>
      <c r="H212" s="1201"/>
      <c r="I212" s="1201">
        <v>0</v>
      </c>
      <c r="J212" s="1201"/>
      <c r="K212" s="1201">
        <v>0</v>
      </c>
      <c r="L212" s="1201"/>
      <c r="M212" s="1201">
        <f t="shared" ref="M212:M255" si="19">ROUND(SUM(O212)-SUM(K212),2)</f>
        <v>0</v>
      </c>
      <c r="N212" s="1201"/>
      <c r="O212" s="1201">
        <v>0</v>
      </c>
      <c r="P212" s="2875"/>
      <c r="Q212" s="2859"/>
    </row>
    <row r="213" spans="2:17" s="2846" customFormat="1" ht="15.6">
      <c r="B213" s="2854">
        <v>55002</v>
      </c>
      <c r="C213" s="2878"/>
      <c r="D213" s="2890" t="s">
        <v>1450</v>
      </c>
      <c r="E213" s="2853"/>
      <c r="F213" s="2853"/>
      <c r="G213" s="1201">
        <v>0</v>
      </c>
      <c r="H213" s="1201"/>
      <c r="I213" s="1201">
        <v>0</v>
      </c>
      <c r="J213" s="1201"/>
      <c r="K213" s="1201">
        <v>0</v>
      </c>
      <c r="L213" s="1201"/>
      <c r="M213" s="1201">
        <f>ROUND(SUM(O213)-SUM(K213),2)</f>
        <v>0</v>
      </c>
      <c r="N213" s="1201"/>
      <c r="O213" s="1201">
        <v>0</v>
      </c>
      <c r="P213" s="2875"/>
      <c r="Q213" s="2859"/>
    </row>
    <row r="214" spans="2:17" s="2846" customFormat="1" ht="15.6">
      <c r="B214" s="2854">
        <v>55003</v>
      </c>
      <c r="C214" s="2868"/>
      <c r="D214" s="2890" t="s">
        <v>670</v>
      </c>
      <c r="E214" s="2870"/>
      <c r="F214" s="2870"/>
      <c r="G214" s="1201">
        <v>775066.72</v>
      </c>
      <c r="H214" s="1201"/>
      <c r="I214" s="1201">
        <v>815942.58</v>
      </c>
      <c r="J214" s="1201"/>
      <c r="K214" s="1201">
        <v>836839.01</v>
      </c>
      <c r="L214" s="1201"/>
      <c r="M214" s="1201">
        <f t="shared" si="19"/>
        <v>-98616.33</v>
      </c>
      <c r="N214" s="1201"/>
      <c r="O214" s="1201">
        <v>738222.68</v>
      </c>
      <c r="P214" s="2866"/>
      <c r="Q214" s="2859"/>
    </row>
    <row r="215" spans="2:17" s="2846" customFormat="1" ht="15.6">
      <c r="B215" s="2854">
        <v>55004</v>
      </c>
      <c r="C215" s="2889"/>
      <c r="D215" s="2911" t="s">
        <v>671</v>
      </c>
      <c r="E215" s="2874"/>
      <c r="F215" s="2874"/>
      <c r="G215" s="1201">
        <v>0</v>
      </c>
      <c r="H215" s="1201"/>
      <c r="I215" s="1201">
        <v>0</v>
      </c>
      <c r="J215" s="1201"/>
      <c r="K215" s="1201">
        <v>0</v>
      </c>
      <c r="L215" s="1201"/>
      <c r="M215" s="1201">
        <f t="shared" si="19"/>
        <v>0</v>
      </c>
      <c r="N215" s="1201"/>
      <c r="O215" s="1201">
        <v>0</v>
      </c>
      <c r="P215" s="2866"/>
      <c r="Q215" s="2859"/>
    </row>
    <row r="216" spans="2:17" s="2846" customFormat="1" ht="15.6">
      <c r="B216" s="2854">
        <v>55005</v>
      </c>
      <c r="C216" s="2889"/>
      <c r="D216" s="2911" t="s">
        <v>1451</v>
      </c>
      <c r="E216" s="2874"/>
      <c r="F216" s="2874"/>
      <c r="G216" s="1201">
        <v>0</v>
      </c>
      <c r="H216" s="1201"/>
      <c r="I216" s="1201">
        <v>0</v>
      </c>
      <c r="J216" s="1201"/>
      <c r="K216" s="1201">
        <v>0</v>
      </c>
      <c r="L216" s="1201"/>
      <c r="M216" s="1201">
        <f>ROUND(SUM(O216)-SUM(K216),2)</f>
        <v>0</v>
      </c>
      <c r="N216" s="1201"/>
      <c r="O216" s="1201">
        <v>0</v>
      </c>
      <c r="P216" s="2866"/>
      <c r="Q216" s="2859"/>
    </row>
    <row r="217" spans="2:17" s="2846" customFormat="1" ht="15.6">
      <c r="B217" s="2854">
        <v>55006</v>
      </c>
      <c r="C217" s="2889"/>
      <c r="D217" s="2890" t="s">
        <v>672</v>
      </c>
      <c r="E217" s="2874"/>
      <c r="F217" s="2874"/>
      <c r="G217" s="1201">
        <v>16666.41</v>
      </c>
      <c r="H217" s="1201"/>
      <c r="I217" s="1201">
        <v>29327.74</v>
      </c>
      <c r="J217" s="1201"/>
      <c r="K217" s="1201">
        <v>66738.2</v>
      </c>
      <c r="L217" s="1201"/>
      <c r="M217" s="1201">
        <f t="shared" si="19"/>
        <v>-9986.66</v>
      </c>
      <c r="N217" s="1201"/>
      <c r="O217" s="1201">
        <v>56751.54</v>
      </c>
      <c r="P217" s="2866"/>
      <c r="Q217" s="2859"/>
    </row>
    <row r="218" spans="2:17" s="2846" customFormat="1" ht="15.6">
      <c r="B218" s="2854">
        <v>55007</v>
      </c>
      <c r="C218" s="2886"/>
      <c r="D218" s="2855" t="s">
        <v>673</v>
      </c>
      <c r="E218" s="2887"/>
      <c r="F218" s="2887"/>
      <c r="G218" s="1201">
        <v>1471600.94</v>
      </c>
      <c r="H218" s="1201"/>
      <c r="I218" s="1201">
        <v>1124992.77</v>
      </c>
      <c r="J218" s="1201"/>
      <c r="K218" s="1201">
        <v>1175925.9099999999</v>
      </c>
      <c r="L218" s="1201"/>
      <c r="M218" s="1201">
        <f t="shared" si="19"/>
        <v>-542936.11</v>
      </c>
      <c r="N218" s="1201"/>
      <c r="O218" s="1201">
        <v>632989.80000000005</v>
      </c>
      <c r="P218" s="2875"/>
      <c r="Q218" s="2859"/>
    </row>
    <row r="219" spans="2:17" s="2846" customFormat="1" ht="15.6">
      <c r="B219" s="2854">
        <v>55008</v>
      </c>
      <c r="C219" s="2868"/>
      <c r="D219" s="2891" t="s">
        <v>674</v>
      </c>
      <c r="E219" s="2870"/>
      <c r="F219" s="2870"/>
      <c r="G219" s="1201">
        <v>17658067.739999998</v>
      </c>
      <c r="H219" s="1201"/>
      <c r="I219" s="1201">
        <v>24141173.539999999</v>
      </c>
      <c r="J219" s="1201"/>
      <c r="K219" s="1201">
        <v>17606174.48</v>
      </c>
      <c r="L219" s="1201"/>
      <c r="M219" s="1201">
        <f t="shared" si="19"/>
        <v>-2918778.85</v>
      </c>
      <c r="N219" s="1201"/>
      <c r="O219" s="1201">
        <v>14687395.630000001</v>
      </c>
      <c r="P219" s="2881"/>
      <c r="Q219" s="2859"/>
    </row>
    <row r="220" spans="2:17" s="2846" customFormat="1" ht="15.6">
      <c r="B220" s="2854">
        <v>55009</v>
      </c>
      <c r="C220" s="2868"/>
      <c r="D220" s="2891" t="s">
        <v>1452</v>
      </c>
      <c r="E220" s="2870"/>
      <c r="F220" s="2870"/>
      <c r="G220" s="1201">
        <v>0</v>
      </c>
      <c r="H220" s="1201"/>
      <c r="I220" s="1201">
        <v>0</v>
      </c>
      <c r="J220" s="1201"/>
      <c r="K220" s="1201">
        <v>0</v>
      </c>
      <c r="L220" s="1201"/>
      <c r="M220" s="1201">
        <f>ROUND(SUM(O220)-SUM(K220),2)</f>
        <v>0</v>
      </c>
      <c r="N220" s="1201"/>
      <c r="O220" s="1201">
        <v>0</v>
      </c>
      <c r="P220" s="2881"/>
      <c r="Q220" s="2859"/>
    </row>
    <row r="221" spans="2:17" s="2846" customFormat="1" ht="15.6">
      <c r="B221" s="2809">
        <v>55010</v>
      </c>
      <c r="C221" s="2868"/>
      <c r="D221" s="2890" t="s">
        <v>884</v>
      </c>
      <c r="E221" s="2870"/>
      <c r="F221" s="2870"/>
      <c r="G221" s="1201">
        <v>11776518.640000001</v>
      </c>
      <c r="H221" s="1201"/>
      <c r="I221" s="1201">
        <v>13907262.140000001</v>
      </c>
      <c r="J221" s="1201"/>
      <c r="K221" s="1201">
        <v>15102319.220000001</v>
      </c>
      <c r="L221" s="1201"/>
      <c r="M221" s="1201">
        <f t="shared" si="19"/>
        <v>-661000.89</v>
      </c>
      <c r="N221" s="1201"/>
      <c r="O221" s="1201">
        <v>14441318.33</v>
      </c>
      <c r="P221" s="2853"/>
      <c r="Q221" s="2859"/>
    </row>
    <row r="222" spans="2:17" s="2846" customFormat="1" ht="15.6">
      <c r="B222" s="2854">
        <v>55011</v>
      </c>
      <c r="C222" s="2886"/>
      <c r="D222" s="2855" t="s">
        <v>675</v>
      </c>
      <c r="E222" s="2887"/>
      <c r="F222" s="2887"/>
      <c r="G222" s="1201">
        <v>0</v>
      </c>
      <c r="H222" s="1201"/>
      <c r="I222" s="1201">
        <v>0</v>
      </c>
      <c r="J222" s="1201"/>
      <c r="K222" s="1201">
        <v>0</v>
      </c>
      <c r="L222" s="1201"/>
      <c r="M222" s="1201">
        <f t="shared" si="19"/>
        <v>4873922.9000000004</v>
      </c>
      <c r="N222" s="1201"/>
      <c r="O222" s="1201">
        <v>4873922.9000000004</v>
      </c>
      <c r="P222" s="2866"/>
      <c r="Q222" s="2859"/>
    </row>
    <row r="223" spans="2:17" s="2846" customFormat="1" ht="15.6">
      <c r="B223" s="2854">
        <v>55012</v>
      </c>
      <c r="C223" s="2868"/>
      <c r="D223" s="2869" t="s">
        <v>676</v>
      </c>
      <c r="E223" s="2870"/>
      <c r="F223" s="2870"/>
      <c r="G223" s="1201">
        <v>175587.06</v>
      </c>
      <c r="H223" s="1201"/>
      <c r="I223" s="1201">
        <v>168320.44</v>
      </c>
      <c r="J223" s="1201"/>
      <c r="K223" s="1201">
        <v>165165.93</v>
      </c>
      <c r="L223" s="1201"/>
      <c r="M223" s="1201">
        <f t="shared" si="19"/>
        <v>52958</v>
      </c>
      <c r="N223" s="1201"/>
      <c r="O223" s="1201">
        <v>218123.93</v>
      </c>
      <c r="P223" s="2866"/>
      <c r="Q223" s="2859"/>
    </row>
    <row r="224" spans="2:17" s="2846" customFormat="1" ht="15.6">
      <c r="B224" s="2854">
        <v>55013</v>
      </c>
      <c r="C224" s="2868"/>
      <c r="D224" s="2869" t="s">
        <v>1453</v>
      </c>
      <c r="E224" s="2870"/>
      <c r="F224" s="2870"/>
      <c r="G224" s="1201">
        <v>0</v>
      </c>
      <c r="H224" s="1201"/>
      <c r="I224" s="1201">
        <v>0</v>
      </c>
      <c r="J224" s="1201"/>
      <c r="K224" s="1201">
        <v>0</v>
      </c>
      <c r="L224" s="1201"/>
      <c r="M224" s="1201">
        <f>ROUND(SUM(O224)-SUM(K224),2)</f>
        <v>0</v>
      </c>
      <c r="N224" s="1201"/>
      <c r="O224" s="1201">
        <v>0</v>
      </c>
      <c r="P224" s="2866"/>
      <c r="Q224" s="2859"/>
    </row>
    <row r="225" spans="2:17" s="2846" customFormat="1" ht="15.6">
      <c r="B225" s="2854">
        <v>55014</v>
      </c>
      <c r="C225" s="2868"/>
      <c r="D225" s="2869" t="s">
        <v>1454</v>
      </c>
      <c r="E225" s="2870"/>
      <c r="F225" s="2870"/>
      <c r="G225" s="1201">
        <v>0</v>
      </c>
      <c r="H225" s="1201"/>
      <c r="I225" s="1201">
        <v>0</v>
      </c>
      <c r="J225" s="1201"/>
      <c r="K225" s="1201">
        <v>0</v>
      </c>
      <c r="L225" s="1201"/>
      <c r="M225" s="1201">
        <f>ROUND(SUM(O225)-SUM(K225),2)</f>
        <v>0</v>
      </c>
      <c r="N225" s="1201"/>
      <c r="O225" s="1201">
        <v>0</v>
      </c>
      <c r="P225" s="2866"/>
      <c r="Q225" s="2859"/>
    </row>
    <row r="226" spans="2:17" s="2846" customFormat="1" ht="15.6">
      <c r="B226" s="2854">
        <v>55015</v>
      </c>
      <c r="C226" s="2868"/>
      <c r="D226" s="2869" t="s">
        <v>1455</v>
      </c>
      <c r="E226" s="2870"/>
      <c r="F226" s="2870"/>
      <c r="G226" s="1201">
        <v>0</v>
      </c>
      <c r="H226" s="1201"/>
      <c r="I226" s="1201">
        <v>0</v>
      </c>
      <c r="J226" s="1201"/>
      <c r="K226" s="1201">
        <v>0</v>
      </c>
      <c r="L226" s="1201"/>
      <c r="M226" s="1201">
        <f>ROUND(SUM(O226)-SUM(K226),2)</f>
        <v>0</v>
      </c>
      <c r="N226" s="1201"/>
      <c r="O226" s="1201">
        <v>0</v>
      </c>
      <c r="P226" s="2866"/>
      <c r="Q226" s="2859"/>
    </row>
    <row r="227" spans="2:17" s="2846" customFormat="1" ht="15.6">
      <c r="B227" s="2854">
        <v>55016</v>
      </c>
      <c r="C227" s="2868"/>
      <c r="D227" s="2888" t="s">
        <v>677</v>
      </c>
      <c r="E227" s="2870"/>
      <c r="F227" s="2870"/>
      <c r="G227" s="1201">
        <v>796794.34</v>
      </c>
      <c r="H227" s="1201"/>
      <c r="I227" s="1201">
        <v>946556.87</v>
      </c>
      <c r="J227" s="1201"/>
      <c r="K227" s="1201">
        <v>869756.28</v>
      </c>
      <c r="L227" s="1201"/>
      <c r="M227" s="1201">
        <f t="shared" si="19"/>
        <v>369538.78</v>
      </c>
      <c r="N227" s="1201"/>
      <c r="O227" s="1201">
        <v>1239295.06</v>
      </c>
      <c r="P227" s="2866"/>
      <c r="Q227" s="2859"/>
    </row>
    <row r="228" spans="2:17" s="2846" customFormat="1" ht="15.6">
      <c r="B228" s="2854">
        <v>55017</v>
      </c>
      <c r="C228" s="2868"/>
      <c r="D228" s="2888" t="s">
        <v>678</v>
      </c>
      <c r="E228" s="2870"/>
      <c r="F228" s="2870"/>
      <c r="G228" s="1201">
        <v>265681.53999999998</v>
      </c>
      <c r="H228" s="1201"/>
      <c r="I228" s="1201">
        <v>172020.32</v>
      </c>
      <c r="J228" s="1201"/>
      <c r="K228" s="1201">
        <v>257960.81</v>
      </c>
      <c r="L228" s="1201"/>
      <c r="M228" s="1201">
        <f t="shared" si="19"/>
        <v>71093.84</v>
      </c>
      <c r="N228" s="1201"/>
      <c r="O228" s="1201">
        <v>329054.65000000002</v>
      </c>
      <c r="P228" s="2866"/>
      <c r="Q228" s="2859"/>
    </row>
    <row r="229" spans="2:17" s="2846" customFormat="1" ht="15.6">
      <c r="B229" s="2854">
        <v>55018</v>
      </c>
      <c r="C229" s="2868"/>
      <c r="D229" s="2888" t="s">
        <v>1456</v>
      </c>
      <c r="E229" s="2870"/>
      <c r="F229" s="2870"/>
      <c r="G229" s="1201">
        <v>0</v>
      </c>
      <c r="H229" s="1201"/>
      <c r="I229" s="1201">
        <v>0</v>
      </c>
      <c r="J229" s="1201"/>
      <c r="K229" s="1201">
        <v>0</v>
      </c>
      <c r="L229" s="1201"/>
      <c r="M229" s="1201">
        <f>ROUND(SUM(O229)-SUM(K229),2)</f>
        <v>0</v>
      </c>
      <c r="N229" s="1201"/>
      <c r="O229" s="1201">
        <v>0</v>
      </c>
      <c r="P229" s="2866"/>
      <c r="Q229" s="2859"/>
    </row>
    <row r="230" spans="2:17" s="2846" customFormat="1" ht="15.6">
      <c r="B230" s="2854">
        <v>55019</v>
      </c>
      <c r="C230" s="2868"/>
      <c r="D230" s="2888" t="s">
        <v>1457</v>
      </c>
      <c r="E230" s="2870"/>
      <c r="F230" s="2870"/>
      <c r="G230" s="1201">
        <v>0</v>
      </c>
      <c r="H230" s="1201"/>
      <c r="I230" s="1201">
        <v>0</v>
      </c>
      <c r="J230" s="1201"/>
      <c r="K230" s="1201">
        <v>0</v>
      </c>
      <c r="L230" s="1201"/>
      <c r="M230" s="1201">
        <f>ROUND(SUM(O230)-SUM(K230),2)</f>
        <v>0</v>
      </c>
      <c r="N230" s="1201"/>
      <c r="O230" s="1201">
        <v>0</v>
      </c>
      <c r="P230" s="2866"/>
      <c r="Q230" s="2859"/>
    </row>
    <row r="231" spans="2:17" s="2846" customFormat="1" ht="15.6">
      <c r="B231" s="2854">
        <v>55020</v>
      </c>
      <c r="C231" s="2868"/>
      <c r="D231" s="2888" t="s">
        <v>679</v>
      </c>
      <c r="E231" s="2870"/>
      <c r="F231" s="2870"/>
      <c r="G231" s="1201">
        <v>80395018.370000005</v>
      </c>
      <c r="H231" s="1201"/>
      <c r="I231" s="1201">
        <v>75067705.319999993</v>
      </c>
      <c r="J231" s="1201"/>
      <c r="K231" s="1201">
        <v>67045169.770000003</v>
      </c>
      <c r="L231" s="1201"/>
      <c r="M231" s="1201">
        <f t="shared" si="19"/>
        <v>2070578.23</v>
      </c>
      <c r="N231" s="1201"/>
      <c r="O231" s="1201">
        <v>69115748</v>
      </c>
      <c r="P231" s="2866"/>
      <c r="Q231" s="2859"/>
    </row>
    <row r="232" spans="2:17" s="2846" customFormat="1" ht="15.6">
      <c r="B232" s="2854">
        <v>55021</v>
      </c>
      <c r="C232" s="2868"/>
      <c r="D232" s="2888" t="s">
        <v>680</v>
      </c>
      <c r="E232" s="2870"/>
      <c r="F232" s="2870"/>
      <c r="G232" s="1201">
        <v>12390176.9</v>
      </c>
      <c r="H232" s="1201"/>
      <c r="I232" s="1201">
        <v>13020264.800000001</v>
      </c>
      <c r="J232" s="1201"/>
      <c r="K232" s="1201">
        <v>13250443.67</v>
      </c>
      <c r="L232" s="1201"/>
      <c r="M232" s="1201">
        <f t="shared" si="19"/>
        <v>550631.5</v>
      </c>
      <c r="N232" s="1201"/>
      <c r="O232" s="1201">
        <v>13801075.17</v>
      </c>
      <c r="P232" s="2866"/>
      <c r="Q232" s="2859"/>
    </row>
    <row r="233" spans="2:17" s="2846" customFormat="1" ht="15.6">
      <c r="B233" s="2854">
        <v>55022</v>
      </c>
      <c r="C233" s="2868"/>
      <c r="D233" s="2869" t="s">
        <v>681</v>
      </c>
      <c r="E233" s="2870"/>
      <c r="F233" s="2870"/>
      <c r="G233" s="1201">
        <v>17097947.739999998</v>
      </c>
      <c r="H233" s="1201"/>
      <c r="I233" s="1201">
        <v>19785930.890000001</v>
      </c>
      <c r="J233" s="1201"/>
      <c r="K233" s="1201">
        <v>22249319.359999999</v>
      </c>
      <c r="L233" s="1201"/>
      <c r="M233" s="1201">
        <f t="shared" si="19"/>
        <v>2170651.69</v>
      </c>
      <c r="N233" s="1201"/>
      <c r="O233" s="1201">
        <v>24419971.050000001</v>
      </c>
      <c r="P233" s="2866"/>
      <c r="Q233" s="2859"/>
    </row>
    <row r="234" spans="2:17" s="2846" customFormat="1" ht="15.6">
      <c r="B234" s="2854">
        <v>55052</v>
      </c>
      <c r="C234" s="2868"/>
      <c r="D234" s="2869" t="s">
        <v>682</v>
      </c>
      <c r="E234" s="2870"/>
      <c r="F234" s="2870"/>
      <c r="G234" s="1201">
        <v>0</v>
      </c>
      <c r="H234" s="1201"/>
      <c r="I234" s="1201">
        <v>0</v>
      </c>
      <c r="J234" s="1201"/>
      <c r="K234" s="1201">
        <v>47577.7</v>
      </c>
      <c r="L234" s="1201"/>
      <c r="M234" s="1201">
        <f t="shared" si="19"/>
        <v>46898.36</v>
      </c>
      <c r="N234" s="1201"/>
      <c r="O234" s="1201">
        <v>94476.06</v>
      </c>
      <c r="P234" s="2866"/>
      <c r="Q234" s="2859"/>
    </row>
    <row r="235" spans="2:17" s="2846" customFormat="1" ht="15.6">
      <c r="B235" s="2854">
        <v>55053</v>
      </c>
      <c r="C235" s="2868"/>
      <c r="D235" s="2888" t="s">
        <v>683</v>
      </c>
      <c r="E235" s="2870"/>
      <c r="F235" s="2870"/>
      <c r="G235" s="1201">
        <v>0</v>
      </c>
      <c r="H235" s="1201"/>
      <c r="I235" s="1201">
        <v>0</v>
      </c>
      <c r="J235" s="1201"/>
      <c r="K235" s="1201">
        <v>0</v>
      </c>
      <c r="L235" s="1201"/>
      <c r="M235" s="1201">
        <f t="shared" si="19"/>
        <v>0</v>
      </c>
      <c r="N235" s="1201"/>
      <c r="O235" s="1201">
        <v>0</v>
      </c>
      <c r="P235" s="2866"/>
      <c r="Q235" s="2859"/>
    </row>
    <row r="236" spans="2:17" s="2846" customFormat="1" ht="15.6">
      <c r="B236" s="3804">
        <v>55055</v>
      </c>
      <c r="C236" s="3805"/>
      <c r="D236" s="3806" t="s">
        <v>1381</v>
      </c>
      <c r="E236" s="2870"/>
      <c r="F236" s="2870"/>
      <c r="G236" s="1201">
        <v>0</v>
      </c>
      <c r="H236" s="1201"/>
      <c r="I236" s="1201">
        <v>0</v>
      </c>
      <c r="J236" s="1201"/>
      <c r="K236" s="1201">
        <v>0</v>
      </c>
      <c r="L236" s="1201"/>
      <c r="M236" s="1201">
        <f t="shared" ref="M236" si="20">ROUND(SUM(O236)-SUM(K236),2)</f>
        <v>0</v>
      </c>
      <c r="N236" s="1201"/>
      <c r="O236" s="1201">
        <v>0</v>
      </c>
      <c r="P236" s="2866"/>
      <c r="Q236" s="2859"/>
    </row>
    <row r="237" spans="2:17" s="2846" customFormat="1" ht="15.6">
      <c r="B237" s="2854">
        <v>55056</v>
      </c>
      <c r="C237" s="2868"/>
      <c r="D237" s="2888" t="s">
        <v>684</v>
      </c>
      <c r="E237" s="2870"/>
      <c r="F237" s="2870"/>
      <c r="G237" s="1201">
        <v>0</v>
      </c>
      <c r="H237" s="1201"/>
      <c r="I237" s="1201">
        <v>0</v>
      </c>
      <c r="J237" s="1201"/>
      <c r="K237" s="1201">
        <v>0</v>
      </c>
      <c r="L237" s="1201"/>
      <c r="M237" s="1201">
        <f t="shared" si="19"/>
        <v>0</v>
      </c>
      <c r="N237" s="1201"/>
      <c r="O237" s="1201">
        <v>0</v>
      </c>
      <c r="P237" s="2866"/>
      <c r="Q237" s="2859"/>
    </row>
    <row r="238" spans="2:17" s="2846" customFormat="1" ht="15.6">
      <c r="B238" s="2854">
        <v>55057</v>
      </c>
      <c r="C238" s="2868"/>
      <c r="D238" s="2888" t="s">
        <v>685</v>
      </c>
      <c r="E238" s="2870"/>
      <c r="F238" s="2870"/>
      <c r="G238" s="1201">
        <v>519.81000000011397</v>
      </c>
      <c r="H238" s="1201"/>
      <c r="I238" s="1201">
        <v>3166.8000000000502</v>
      </c>
      <c r="J238" s="1201"/>
      <c r="K238" s="1201">
        <v>41989.51</v>
      </c>
      <c r="L238" s="1201"/>
      <c r="M238" s="1201">
        <f t="shared" si="19"/>
        <v>73187.399999999994</v>
      </c>
      <c r="N238" s="1201"/>
      <c r="O238" s="1201">
        <v>115176.91</v>
      </c>
      <c r="P238" s="2866"/>
      <c r="Q238" s="2859"/>
    </row>
    <row r="239" spans="2:17" s="2846" customFormat="1" ht="15.6">
      <c r="B239" s="2854">
        <v>55058</v>
      </c>
      <c r="C239" s="2868"/>
      <c r="D239" s="2888" t="s">
        <v>686</v>
      </c>
      <c r="E239" s="2870"/>
      <c r="F239" s="2870"/>
      <c r="G239" s="1201">
        <v>5607446.9199999999</v>
      </c>
      <c r="H239" s="1201"/>
      <c r="I239" s="1201">
        <v>6135647.0800000001</v>
      </c>
      <c r="J239" s="1201"/>
      <c r="K239" s="1201">
        <v>6499110.75</v>
      </c>
      <c r="L239" s="1201"/>
      <c r="M239" s="1201">
        <f t="shared" si="19"/>
        <v>-3364956.45</v>
      </c>
      <c r="N239" s="1201"/>
      <c r="O239" s="1201">
        <v>3134154.3</v>
      </c>
      <c r="P239" s="2866"/>
      <c r="Q239" s="2859"/>
    </row>
    <row r="240" spans="2:17" s="2846" customFormat="1" ht="15.6">
      <c r="B240" s="2854">
        <v>55059</v>
      </c>
      <c r="C240" s="2868"/>
      <c r="D240" s="2890" t="s">
        <v>1164</v>
      </c>
      <c r="E240" s="2870"/>
      <c r="F240" s="2870"/>
      <c r="G240" s="1201">
        <v>11192956.039999999</v>
      </c>
      <c r="H240" s="1201"/>
      <c r="I240" s="1201">
        <v>10852954.390000001</v>
      </c>
      <c r="J240" s="1201"/>
      <c r="K240" s="1201">
        <v>10651663.939999999</v>
      </c>
      <c r="L240" s="1201"/>
      <c r="M240" s="1201">
        <f t="shared" ref="M240" si="21">ROUND(SUM(O240)-SUM(K240),2)</f>
        <v>-1552139.47</v>
      </c>
      <c r="N240" s="1201"/>
      <c r="O240" s="1201">
        <v>9099524.4700000007</v>
      </c>
      <c r="P240" s="2866"/>
      <c r="Q240" s="2859"/>
    </row>
    <row r="241" spans="2:17" s="2846" customFormat="1" ht="15.6">
      <c r="B241" s="2854">
        <v>55060</v>
      </c>
      <c r="C241" s="2868"/>
      <c r="D241" s="2869" t="s">
        <v>687</v>
      </c>
      <c r="E241" s="2870"/>
      <c r="F241" s="2870"/>
      <c r="G241" s="1201">
        <v>334376.3</v>
      </c>
      <c r="H241" s="1201"/>
      <c r="I241" s="1201">
        <v>0</v>
      </c>
      <c r="J241" s="1201"/>
      <c r="K241" s="1201">
        <v>0</v>
      </c>
      <c r="L241" s="1201"/>
      <c r="M241" s="1201">
        <f t="shared" si="19"/>
        <v>0</v>
      </c>
      <c r="N241" s="1201"/>
      <c r="O241" s="1201">
        <v>0</v>
      </c>
      <c r="P241" s="2866"/>
      <c r="Q241" s="2859"/>
    </row>
    <row r="242" spans="2:17" s="2846" customFormat="1" ht="15.6">
      <c r="B242" s="2854">
        <v>55061</v>
      </c>
      <c r="C242" s="2868"/>
      <c r="D242" s="2869" t="s">
        <v>688</v>
      </c>
      <c r="E242" s="2870"/>
      <c r="F242" s="2870"/>
      <c r="G242" s="1201">
        <v>0</v>
      </c>
      <c r="H242" s="1201"/>
      <c r="I242" s="1201">
        <v>0</v>
      </c>
      <c r="J242" s="1201"/>
      <c r="K242" s="1201">
        <v>0</v>
      </c>
      <c r="L242" s="1201"/>
      <c r="M242" s="1201">
        <f t="shared" si="19"/>
        <v>0</v>
      </c>
      <c r="N242" s="1201"/>
      <c r="O242" s="1201">
        <v>0</v>
      </c>
      <c r="P242" s="2866"/>
      <c r="Q242" s="2859"/>
    </row>
    <row r="243" spans="2:17" s="2846" customFormat="1" ht="15.6">
      <c r="B243" s="2854">
        <v>55062</v>
      </c>
      <c r="C243" s="2868"/>
      <c r="D243" s="2888" t="s">
        <v>689</v>
      </c>
      <c r="E243" s="2870"/>
      <c r="F243" s="2870"/>
      <c r="G243" s="1201">
        <v>89571963.739999995</v>
      </c>
      <c r="H243" s="1201"/>
      <c r="I243" s="1201">
        <v>84873400.140000001</v>
      </c>
      <c r="J243" s="1201"/>
      <c r="K243" s="1201">
        <v>84594981.569999993</v>
      </c>
      <c r="L243" s="1201"/>
      <c r="M243" s="1201">
        <f t="shared" si="19"/>
        <v>0</v>
      </c>
      <c r="N243" s="1201"/>
      <c r="O243" s="1201">
        <v>84594981.569999993</v>
      </c>
      <c r="P243" s="2866"/>
      <c r="Q243" s="2859"/>
    </row>
    <row r="244" spans="2:17" s="2846" customFormat="1" ht="15.6">
      <c r="B244" s="2854">
        <v>55066</v>
      </c>
      <c r="C244" s="2868"/>
      <c r="D244" s="2888" t="s">
        <v>690</v>
      </c>
      <c r="E244" s="2870"/>
      <c r="F244" s="2870"/>
      <c r="G244" s="1201">
        <v>1261584.27</v>
      </c>
      <c r="H244" s="1201"/>
      <c r="I244" s="1201">
        <v>1261584.27</v>
      </c>
      <c r="J244" s="1201"/>
      <c r="K244" s="1201">
        <v>1261584.27</v>
      </c>
      <c r="L244" s="1201"/>
      <c r="M244" s="1201">
        <f t="shared" si="19"/>
        <v>0</v>
      </c>
      <c r="N244" s="1201"/>
      <c r="O244" s="1201">
        <v>1261584.27</v>
      </c>
      <c r="P244" s="2866"/>
      <c r="Q244" s="2859"/>
    </row>
    <row r="245" spans="2:17" s="2846" customFormat="1" ht="15.6">
      <c r="B245" s="2854">
        <v>55067</v>
      </c>
      <c r="C245" s="2868"/>
      <c r="D245" s="2888" t="s">
        <v>691</v>
      </c>
      <c r="E245" s="2870"/>
      <c r="F245" s="2870"/>
      <c r="G245" s="1201">
        <v>83834.27</v>
      </c>
      <c r="H245" s="1201"/>
      <c r="I245" s="1201">
        <v>132522.17000000001</v>
      </c>
      <c r="J245" s="1201"/>
      <c r="K245" s="1201">
        <v>159026.75</v>
      </c>
      <c r="L245" s="1201"/>
      <c r="M245" s="1201">
        <f t="shared" si="19"/>
        <v>26734.98</v>
      </c>
      <c r="N245" s="1201"/>
      <c r="O245" s="1201">
        <v>185761.73</v>
      </c>
      <c r="P245" s="2866"/>
      <c r="Q245" s="2859"/>
    </row>
    <row r="246" spans="2:17" s="2846" customFormat="1" ht="15.6">
      <c r="B246" s="2854">
        <v>55069</v>
      </c>
      <c r="C246" s="2868"/>
      <c r="D246" s="2888" t="s">
        <v>692</v>
      </c>
      <c r="E246" s="2870"/>
      <c r="F246" s="2870"/>
      <c r="G246" s="1201">
        <v>100700012.81999999</v>
      </c>
      <c r="H246" s="1201"/>
      <c r="I246" s="1201">
        <v>99736918.560000002</v>
      </c>
      <c r="J246" s="1201"/>
      <c r="K246" s="1201">
        <v>105825486.90000001</v>
      </c>
      <c r="L246" s="1201"/>
      <c r="M246" s="1201">
        <f t="shared" si="19"/>
        <v>12521320.640000001</v>
      </c>
      <c r="N246" s="1201"/>
      <c r="O246" s="1201">
        <v>118346807.54000001</v>
      </c>
      <c r="P246" s="2866"/>
      <c r="Q246" s="2859"/>
    </row>
    <row r="247" spans="2:17" s="2846" customFormat="1" ht="15.6">
      <c r="B247" s="2892">
        <v>55071</v>
      </c>
      <c r="C247" s="2868"/>
      <c r="D247" s="2888" t="s">
        <v>863</v>
      </c>
      <c r="E247" s="2870"/>
      <c r="F247" s="2870"/>
      <c r="G247" s="1201">
        <v>592541.29</v>
      </c>
      <c r="H247" s="1201"/>
      <c r="I247" s="1201">
        <v>970792.07</v>
      </c>
      <c r="J247" s="1201"/>
      <c r="K247" s="1201">
        <v>1313421.3700000001</v>
      </c>
      <c r="L247" s="1201"/>
      <c r="M247" s="1201">
        <f t="shared" si="19"/>
        <v>237973.56</v>
      </c>
      <c r="N247" s="1201"/>
      <c r="O247" s="1201">
        <v>1551394.93</v>
      </c>
      <c r="P247" s="2866"/>
      <c r="Q247" s="2859"/>
    </row>
    <row r="248" spans="2:17" s="2846" customFormat="1" ht="15.6">
      <c r="B248" s="2854">
        <v>55072</v>
      </c>
      <c r="C248" s="2868"/>
      <c r="D248" s="2888" t="s">
        <v>864</v>
      </c>
      <c r="E248" s="2870"/>
      <c r="F248" s="2870"/>
      <c r="G248" s="1201">
        <v>2844937.7</v>
      </c>
      <c r="H248" s="1201"/>
      <c r="I248" s="1201">
        <v>1282748.1499999999</v>
      </c>
      <c r="J248" s="1201"/>
      <c r="K248" s="1201">
        <v>1400530.28</v>
      </c>
      <c r="L248" s="1201"/>
      <c r="M248" s="1201">
        <f t="shared" si="19"/>
        <v>783103.12</v>
      </c>
      <c r="N248" s="1201"/>
      <c r="O248" s="1201">
        <v>2183633.4</v>
      </c>
      <c r="P248" s="2866"/>
      <c r="Q248" s="2859"/>
    </row>
    <row r="249" spans="2:17" s="2846" customFormat="1" ht="15.6">
      <c r="B249" s="2892">
        <v>55073</v>
      </c>
      <c r="C249" s="2868"/>
      <c r="D249" s="2888" t="s">
        <v>865</v>
      </c>
      <c r="E249" s="2870"/>
      <c r="F249" s="2870"/>
      <c r="G249" s="1201">
        <v>0</v>
      </c>
      <c r="H249" s="1201"/>
      <c r="I249" s="1201">
        <v>0</v>
      </c>
      <c r="J249" s="1201"/>
      <c r="K249" s="1201">
        <v>0</v>
      </c>
      <c r="L249" s="1201"/>
      <c r="M249" s="1201">
        <f t="shared" si="19"/>
        <v>0</v>
      </c>
      <c r="N249" s="1201"/>
      <c r="O249" s="1201">
        <v>0</v>
      </c>
      <c r="P249" s="2866"/>
      <c r="Q249" s="2859"/>
    </row>
    <row r="250" spans="2:17" s="2846" customFormat="1" ht="15.6">
      <c r="B250" s="2892">
        <v>55074</v>
      </c>
      <c r="C250" s="2868"/>
      <c r="D250" s="2888" t="s">
        <v>1195</v>
      </c>
      <c r="E250" s="2870"/>
      <c r="F250" s="2870"/>
      <c r="G250" s="1201">
        <v>0</v>
      </c>
      <c r="H250" s="1201"/>
      <c r="I250" s="1201">
        <v>0</v>
      </c>
      <c r="J250" s="1201"/>
      <c r="K250" s="1201">
        <v>0</v>
      </c>
      <c r="L250" s="1201"/>
      <c r="M250" s="1201">
        <f t="shared" ref="M250" si="22">ROUND(SUM(O250)-SUM(K250),2)</f>
        <v>0</v>
      </c>
      <c r="N250" s="1201"/>
      <c r="O250" s="1201">
        <v>0</v>
      </c>
      <c r="P250" s="2866"/>
      <c r="Q250" s="2859"/>
    </row>
    <row r="251" spans="2:17" s="2846" customFormat="1" ht="15.6">
      <c r="B251" s="2854">
        <v>55251</v>
      </c>
      <c r="C251" s="2868"/>
      <c r="D251" s="2869" t="s">
        <v>693</v>
      </c>
      <c r="E251" s="2870"/>
      <c r="F251" s="2870"/>
      <c r="G251" s="1201">
        <v>9881084.0600000005</v>
      </c>
      <c r="H251" s="1201"/>
      <c r="I251" s="1201">
        <v>10123834.300000001</v>
      </c>
      <c r="J251" s="1201"/>
      <c r="K251" s="1201">
        <v>9644005.9100000001</v>
      </c>
      <c r="L251" s="1201"/>
      <c r="M251" s="1201">
        <f t="shared" si="19"/>
        <v>261721.11</v>
      </c>
      <c r="N251" s="1201"/>
      <c r="O251" s="1201">
        <v>9905727.0199999996</v>
      </c>
      <c r="P251" s="2866"/>
      <c r="Q251" s="2859"/>
    </row>
    <row r="252" spans="2:17" s="2846" customFormat="1" ht="15.6">
      <c r="B252" s="2854">
        <v>55252</v>
      </c>
      <c r="C252" s="2868"/>
      <c r="D252" s="2888" t="s">
        <v>694</v>
      </c>
      <c r="E252" s="2870"/>
      <c r="F252" s="2870"/>
      <c r="G252" s="1201">
        <v>53164975.659999996</v>
      </c>
      <c r="H252" s="1201"/>
      <c r="I252" s="1201">
        <v>59775102.93</v>
      </c>
      <c r="J252" s="1201"/>
      <c r="K252" s="1201">
        <v>64228797.170000002</v>
      </c>
      <c r="L252" s="1201"/>
      <c r="M252" s="1201">
        <f t="shared" si="19"/>
        <v>2944908.9</v>
      </c>
      <c r="N252" s="1201"/>
      <c r="O252" s="1201">
        <v>67173706.069999993</v>
      </c>
      <c r="P252" s="2866"/>
      <c r="Q252" s="2859"/>
    </row>
    <row r="253" spans="2:17" s="2846" customFormat="1" ht="15.6">
      <c r="B253" s="2854">
        <v>55300</v>
      </c>
      <c r="C253" s="2868"/>
      <c r="D253" s="2869" t="s">
        <v>695</v>
      </c>
      <c r="E253" s="2870"/>
      <c r="F253" s="2870"/>
      <c r="G253" s="1201">
        <v>0</v>
      </c>
      <c r="H253" s="1201"/>
      <c r="I253" s="1201">
        <v>0</v>
      </c>
      <c r="J253" s="1201"/>
      <c r="K253" s="1201">
        <v>0</v>
      </c>
      <c r="L253" s="1201"/>
      <c r="M253" s="1201">
        <f t="shared" si="19"/>
        <v>0</v>
      </c>
      <c r="N253" s="1201"/>
      <c r="O253" s="1201">
        <v>0</v>
      </c>
      <c r="P253" s="2866"/>
      <c r="Q253" s="2859"/>
    </row>
    <row r="254" spans="2:17" s="2846" customFormat="1" ht="15.6">
      <c r="B254" s="2854">
        <v>55301</v>
      </c>
      <c r="C254" s="2868"/>
      <c r="D254" s="2869" t="s">
        <v>696</v>
      </c>
      <c r="E254" s="2870"/>
      <c r="F254" s="2870"/>
      <c r="G254" s="1201">
        <v>7642119.4100000001</v>
      </c>
      <c r="H254" s="1201"/>
      <c r="I254" s="1201">
        <v>7725360.6900000004</v>
      </c>
      <c r="J254" s="1201"/>
      <c r="K254" s="1201">
        <v>7832398.8600000003</v>
      </c>
      <c r="L254" s="1201"/>
      <c r="M254" s="1201">
        <f t="shared" si="19"/>
        <v>84177.22</v>
      </c>
      <c r="N254" s="1201"/>
      <c r="O254" s="1201">
        <v>7916576.0800000001</v>
      </c>
      <c r="P254" s="2866"/>
      <c r="Q254" s="2859"/>
    </row>
    <row r="255" spans="2:17" s="2846" customFormat="1" ht="15.6">
      <c r="B255" s="2854">
        <v>55350</v>
      </c>
      <c r="C255" s="2878"/>
      <c r="D255" s="2869" t="s">
        <v>697</v>
      </c>
      <c r="E255" s="2853"/>
      <c r="F255" s="2853"/>
      <c r="G255" s="1201">
        <v>30756121.199999999</v>
      </c>
      <c r="H255" s="1201"/>
      <c r="I255" s="1201">
        <v>32946219.829999998</v>
      </c>
      <c r="J255" s="1201"/>
      <c r="K255" s="1201">
        <v>35065034.649999999</v>
      </c>
      <c r="L255" s="1201"/>
      <c r="M255" s="1201">
        <f t="shared" si="19"/>
        <v>1015163.39</v>
      </c>
      <c r="N255" s="1201"/>
      <c r="O255" s="1201">
        <v>36080198.039999999</v>
      </c>
      <c r="P255" s="2866"/>
      <c r="Q255" s="2859"/>
    </row>
    <row r="256" spans="2:17" s="2846" customFormat="1" ht="16.2" thickBot="1">
      <c r="B256" s="2912"/>
      <c r="C256" s="2848"/>
      <c r="D256" s="2849" t="s">
        <v>698</v>
      </c>
      <c r="E256" s="2850"/>
      <c r="F256" s="2850"/>
      <c r="G256" s="1561">
        <f>ROUND(SUM(G212:G255),2)</f>
        <v>456453599.88999999</v>
      </c>
      <c r="H256" s="1454"/>
      <c r="I256" s="1561">
        <f>ROUND(SUM(I212:I255),2)</f>
        <v>464999748.79000002</v>
      </c>
      <c r="J256" s="1454"/>
      <c r="K256" s="1561">
        <f>ROUND(SUM(K212:K255),2)</f>
        <v>467191422.26999998</v>
      </c>
      <c r="L256" s="1454"/>
      <c r="M256" s="1203">
        <f>ROUND(SUM(M212:M255),2)</f>
        <v>19006148.859999999</v>
      </c>
      <c r="N256" s="1454"/>
      <c r="O256" s="1561">
        <f>ROUND(SUM(O212:O255),2)</f>
        <v>486197571.13</v>
      </c>
      <c r="P256" s="2866"/>
      <c r="Q256" s="2859"/>
    </row>
    <row r="257" spans="1:17" s="2846" customFormat="1" ht="16.2" thickTop="1">
      <c r="B257" s="2893"/>
      <c r="C257" s="2878"/>
      <c r="D257" s="2913"/>
      <c r="E257" s="2853"/>
      <c r="F257" s="2853"/>
      <c r="G257" s="1201"/>
      <c r="H257" s="2884"/>
      <c r="I257" s="1201"/>
      <c r="J257" s="2884"/>
      <c r="K257" s="1201"/>
      <c r="L257" s="2884"/>
      <c r="M257" s="1201"/>
      <c r="N257" s="2884"/>
      <c r="O257" s="1201"/>
      <c r="P257" s="2866"/>
      <c r="Q257" s="2859"/>
    </row>
    <row r="258" spans="1:17" s="2846" customFormat="1" ht="16.2" thickBot="1">
      <c r="B258" s="2893"/>
      <c r="C258" s="2878"/>
      <c r="D258" s="2913"/>
      <c r="E258" s="2853"/>
      <c r="F258" s="2853"/>
      <c r="G258" s="1201"/>
      <c r="H258" s="2884"/>
      <c r="I258" s="1201"/>
      <c r="J258" s="2884"/>
      <c r="K258" s="1201"/>
      <c r="L258" s="2884"/>
      <c r="M258" s="1201"/>
      <c r="N258" s="2884"/>
      <c r="O258" s="1201"/>
      <c r="P258" s="2866"/>
      <c r="Q258" s="2859"/>
    </row>
    <row r="259" spans="1:17" s="2846" customFormat="1" ht="16.2" thickBot="1">
      <c r="B259" s="2912"/>
      <c r="C259" s="2914"/>
      <c r="D259" s="2915" t="s">
        <v>699</v>
      </c>
      <c r="E259" s="2850"/>
      <c r="F259" s="2916"/>
      <c r="G259" s="1562">
        <f>ROUND(SUM(G11+G102+G186+G199+G204+G209+G256),2)</f>
        <v>5842639081.3599997</v>
      </c>
      <c r="H259" s="1456"/>
      <c r="I259" s="1562">
        <f>ROUND(SUM(I11+I102+I186+I199+I204+I209+I256),2)</f>
        <v>5992231764.8699999</v>
      </c>
      <c r="J259" s="1456"/>
      <c r="K259" s="1562">
        <f>ROUND(SUM(K11+K102+K186+K199+K204+K209+K256),2)</f>
        <v>5310762540.8000002</v>
      </c>
      <c r="L259" s="1456"/>
      <c r="M259" s="1455">
        <f>ROUND(SUM(M11+M102+M186+M199+M204+M209+M256),2)</f>
        <v>118439746.68000001</v>
      </c>
      <c r="N259" s="1456"/>
      <c r="O259" s="1562">
        <f>ROUND(SUM(O11+O102+O186+O199+O204+O209+O256),2)</f>
        <v>5429202287.4799995</v>
      </c>
      <c r="P259" s="2866"/>
      <c r="Q259" s="2859"/>
    </row>
    <row r="260" spans="1:17" s="2846" customFormat="1" ht="15.6">
      <c r="B260" s="2893"/>
      <c r="C260" s="2878"/>
      <c r="D260" s="2913"/>
      <c r="E260" s="2853"/>
      <c r="F260" s="2853"/>
      <c r="G260" s="2484"/>
      <c r="H260" s="1471"/>
      <c r="I260" s="1202"/>
      <c r="J260" s="1471"/>
      <c r="K260" s="1202"/>
      <c r="L260" s="1471"/>
      <c r="M260" s="1205"/>
      <c r="N260" s="2878"/>
      <c r="O260" s="1205"/>
      <c r="P260" s="2866"/>
    </row>
    <row r="261" spans="1:17" s="2846" customFormat="1" ht="15.6">
      <c r="B261" s="3581" t="s">
        <v>775</v>
      </c>
      <c r="C261" s="2141" t="s">
        <v>1382</v>
      </c>
      <c r="D261" s="2917"/>
      <c r="E261" s="2918"/>
      <c r="F261" s="2918"/>
      <c r="G261" s="1202"/>
      <c r="H261" s="2919"/>
      <c r="I261" s="1206"/>
      <c r="J261" s="2920"/>
      <c r="K261" s="1206"/>
      <c r="L261" s="2921"/>
      <c r="M261" s="1206"/>
      <c r="N261" s="2921"/>
      <c r="O261" s="1206"/>
      <c r="P261" s="2866"/>
    </row>
    <row r="262" spans="1:17" s="2846" customFormat="1" ht="15.6">
      <c r="B262" s="2922"/>
      <c r="C262" s="799" t="s">
        <v>700</v>
      </c>
      <c r="D262" s="2923"/>
      <c r="E262" s="799"/>
      <c r="F262" s="799"/>
      <c r="G262" s="1206"/>
      <c r="H262" s="2924"/>
      <c r="I262" s="1206"/>
      <c r="J262" s="2921"/>
      <c r="K262" s="1206"/>
      <c r="L262" s="2921"/>
      <c r="M262" s="1206"/>
      <c r="N262" s="2921"/>
      <c r="O262" s="1206"/>
      <c r="P262" s="2866"/>
    </row>
    <row r="263" spans="1:17" s="2846" customFormat="1" ht="15.6">
      <c r="B263" s="2922"/>
      <c r="C263" s="799" t="s">
        <v>701</v>
      </c>
      <c r="D263" s="2925"/>
      <c r="E263" s="799"/>
      <c r="F263" s="799"/>
      <c r="G263" s="1206"/>
      <c r="H263" s="2924"/>
      <c r="I263" s="1207"/>
      <c r="J263" s="2926"/>
      <c r="K263" s="1207"/>
      <c r="L263" s="2926"/>
      <c r="M263" s="1207"/>
      <c r="N263" s="2926"/>
      <c r="O263" s="1207"/>
      <c r="P263" s="2866"/>
    </row>
    <row r="264" spans="1:17" s="2846" customFormat="1" ht="15.6">
      <c r="B264" s="2922"/>
      <c r="C264" s="799" t="s">
        <v>702</v>
      </c>
      <c r="D264" s="2925"/>
      <c r="E264" s="799"/>
      <c r="F264" s="799"/>
      <c r="G264" s="1207"/>
      <c r="H264" s="2924"/>
      <c r="I264" s="1207"/>
      <c r="J264" s="2926"/>
      <c r="K264" s="1207"/>
      <c r="L264" s="2926"/>
      <c r="M264" s="1207"/>
      <c r="N264" s="2926"/>
      <c r="O264" s="1207"/>
      <c r="P264" s="2866"/>
    </row>
    <row r="265" spans="1:17" s="2846" customFormat="1" ht="15.6">
      <c r="B265" s="2922"/>
      <c r="C265" s="799" t="s">
        <v>703</v>
      </c>
      <c r="D265" s="2925"/>
      <c r="E265" s="799"/>
      <c r="F265" s="799"/>
      <c r="G265" s="1207"/>
      <c r="H265" s="2924"/>
      <c r="I265" s="2927"/>
      <c r="J265" s="2928"/>
      <c r="K265" s="2927"/>
      <c r="L265" s="2928"/>
      <c r="M265" s="2927"/>
      <c r="N265" s="2928"/>
      <c r="O265" s="2927"/>
      <c r="P265" s="2866"/>
    </row>
    <row r="266" spans="1:17" s="2846" customFormat="1" ht="15.6">
      <c r="B266" s="2929"/>
      <c r="C266" s="799" t="s">
        <v>1153</v>
      </c>
      <c r="D266" s="2925"/>
      <c r="E266" s="799"/>
      <c r="F266" s="799"/>
      <c r="G266" s="2927"/>
      <c r="H266" s="2924"/>
      <c r="I266" s="2927"/>
      <c r="J266" s="2928"/>
      <c r="K266" s="2927"/>
      <c r="L266" s="2928"/>
      <c r="M266" s="2927"/>
      <c r="N266" s="2928"/>
      <c r="O266" s="2927"/>
      <c r="P266" s="2875"/>
    </row>
    <row r="267" spans="1:17" s="2846" customFormat="1" ht="15.6">
      <c r="B267" s="2929"/>
      <c r="C267" s="2924" t="s">
        <v>776</v>
      </c>
      <c r="D267" s="2930"/>
      <c r="E267" s="2924"/>
      <c r="F267" s="2924"/>
      <c r="G267" s="2927"/>
      <c r="H267" s="2924"/>
      <c r="I267" s="2927"/>
      <c r="J267" s="2928"/>
      <c r="K267" s="2927"/>
      <c r="L267" s="2928"/>
      <c r="M267" s="2927"/>
      <c r="N267" s="2928"/>
      <c r="O267" s="2927"/>
      <c r="P267" s="2866"/>
    </row>
    <row r="268" spans="1:17" s="2846" customFormat="1" ht="15.6">
      <c r="B268" s="2931" t="s">
        <v>112</v>
      </c>
      <c r="C268" s="2918" t="s">
        <v>1134</v>
      </c>
      <c r="D268" s="2917"/>
      <c r="E268" s="2924"/>
      <c r="F268" s="2924"/>
      <c r="G268" s="2927"/>
      <c r="H268" s="2924"/>
      <c r="I268" s="2932"/>
      <c r="J268" s="2933"/>
      <c r="K268" s="2932"/>
      <c r="L268" s="2934"/>
      <c r="M268" s="2935"/>
      <c r="N268" s="2936"/>
      <c r="O268" s="3560"/>
      <c r="P268" s="2853"/>
    </row>
    <row r="269" spans="1:17" s="2846" customFormat="1" ht="15.6">
      <c r="B269" s="2937"/>
      <c r="C269" s="2932" t="s">
        <v>1135</v>
      </c>
      <c r="D269" s="798"/>
      <c r="E269" s="2924"/>
      <c r="F269" s="2924"/>
      <c r="G269" s="2932"/>
      <c r="H269" s="2924"/>
      <c r="I269" s="2932"/>
      <c r="J269" s="2933"/>
      <c r="K269" s="2932"/>
      <c r="L269" s="2934"/>
      <c r="M269" s="2935"/>
      <c r="N269" s="2936"/>
      <c r="O269" s="3560"/>
      <c r="P269" s="2897"/>
    </row>
    <row r="270" spans="1:17" s="2846" customFormat="1" ht="15.6">
      <c r="B270" s="2938" t="s">
        <v>774</v>
      </c>
      <c r="C270" s="2929" t="s">
        <v>885</v>
      </c>
      <c r="D270" s="798"/>
      <c r="E270" s="2939"/>
      <c r="F270" s="1422"/>
      <c r="G270" s="2932"/>
      <c r="H270" s="801"/>
      <c r="I270" s="799"/>
      <c r="J270" s="802"/>
      <c r="K270" s="799"/>
      <c r="L270" s="801"/>
      <c r="M270" s="800"/>
      <c r="N270" s="803"/>
      <c r="O270" s="2918"/>
      <c r="P270" s="2845"/>
    </row>
    <row r="271" spans="1:17" s="2846" customFormat="1" ht="15.6">
      <c r="A271" s="2846" t="s">
        <v>14</v>
      </c>
      <c r="B271" s="2940" t="s">
        <v>14</v>
      </c>
      <c r="C271" s="2141" t="s">
        <v>14</v>
      </c>
      <c r="D271" s="2847"/>
      <c r="E271" s="799"/>
      <c r="F271" s="799"/>
      <c r="G271" s="2932"/>
      <c r="H271" s="2847"/>
      <c r="I271" s="2847"/>
      <c r="J271" s="2847"/>
      <c r="K271" s="2847"/>
      <c r="L271" s="2847"/>
      <c r="M271" s="2847"/>
      <c r="N271" s="2847"/>
      <c r="O271" s="3561"/>
      <c r="P271" s="2924"/>
    </row>
    <row r="272" spans="1:17" s="2846" customFormat="1" ht="15.6">
      <c r="C272" s="2941"/>
      <c r="D272" s="2897"/>
      <c r="E272" s="2942"/>
      <c r="F272" s="2942"/>
      <c r="G272" s="2847"/>
      <c r="H272" s="2926"/>
      <c r="I272" s="2897"/>
      <c r="J272" s="2926"/>
      <c r="K272" s="2897"/>
      <c r="L272" s="2926"/>
      <c r="M272" s="2897"/>
      <c r="N272" s="2926"/>
      <c r="O272" s="3036"/>
      <c r="P272" s="2924"/>
    </row>
    <row r="273" spans="2:16" s="2846" customFormat="1" ht="15.6">
      <c r="C273" s="2941"/>
      <c r="D273" s="2897"/>
      <c r="E273" s="799"/>
      <c r="F273" s="799"/>
      <c r="G273" s="2943"/>
      <c r="H273" s="2943"/>
      <c r="I273" s="2943"/>
      <c r="J273" s="2943"/>
      <c r="K273" s="2943"/>
      <c r="L273" s="2943"/>
      <c r="M273" s="2943"/>
      <c r="N273" s="2943"/>
      <c r="O273" s="3562"/>
      <c r="P273" s="2924"/>
    </row>
    <row r="274" spans="2:16" s="2846" customFormat="1" ht="15.6">
      <c r="B274" s="2941"/>
      <c r="C274" s="2941"/>
      <c r="D274" s="2897"/>
      <c r="E274" s="799"/>
      <c r="F274" s="799"/>
      <c r="G274" s="2944"/>
      <c r="H274" s="2944"/>
      <c r="I274" s="2944"/>
      <c r="J274" s="2944"/>
      <c r="K274" s="2944"/>
      <c r="L274" s="2944"/>
      <c r="M274" s="2897"/>
      <c r="N274" s="2926"/>
      <c r="O274" s="3036"/>
      <c r="P274" s="2924"/>
    </row>
    <row r="275" spans="2:16" s="2846" customFormat="1" ht="15.6">
      <c r="B275" s="2941"/>
      <c r="C275" s="2941"/>
      <c r="D275" s="2897"/>
      <c r="E275" s="799"/>
      <c r="F275" s="799"/>
      <c r="G275" s="2944"/>
      <c r="H275" s="2944"/>
      <c r="I275" s="2944"/>
      <c r="J275" s="2944"/>
      <c r="K275" s="2944"/>
      <c r="L275" s="2944"/>
      <c r="M275" s="2897"/>
      <c r="N275" s="2926"/>
      <c r="O275" s="3036"/>
      <c r="P275" s="2924"/>
    </row>
    <row r="276" spans="2:16" s="2846" customFormat="1" ht="15.6">
      <c r="B276" s="2945"/>
      <c r="C276" s="2924"/>
      <c r="D276" s="2897"/>
      <c r="E276" s="799"/>
      <c r="F276" s="799"/>
      <c r="G276" s="2944"/>
      <c r="H276" s="2946"/>
      <c r="I276" s="2924"/>
      <c r="J276" s="2946"/>
      <c r="K276" s="2924"/>
      <c r="L276" s="2926"/>
      <c r="M276" s="2897"/>
      <c r="N276" s="2926"/>
      <c r="O276" s="3036"/>
      <c r="P276" s="2940"/>
    </row>
    <row r="277" spans="2:16" s="2846" customFormat="1" ht="15.6">
      <c r="B277" s="2947"/>
      <c r="C277" s="2924"/>
      <c r="D277" s="2897"/>
      <c r="E277" s="799"/>
      <c r="F277" s="799"/>
      <c r="G277" s="2924"/>
      <c r="H277" s="2946"/>
      <c r="I277" s="2924"/>
      <c r="J277" s="2946"/>
      <c r="K277" s="2924"/>
      <c r="L277" s="2926"/>
      <c r="M277" s="2897"/>
      <c r="N277" s="2926"/>
      <c r="O277" s="3036"/>
      <c r="P277" s="2940"/>
    </row>
    <row r="278" spans="2:16" s="2846" customFormat="1" ht="15.6">
      <c r="B278" s="2947"/>
      <c r="C278" s="2924"/>
      <c r="D278" s="2897"/>
      <c r="E278" s="799"/>
      <c r="F278" s="799"/>
      <c r="G278" s="2924"/>
      <c r="H278" s="2946"/>
      <c r="I278" s="2924"/>
      <c r="J278" s="2946"/>
      <c r="K278" s="2924"/>
      <c r="L278" s="2926"/>
      <c r="M278" s="798"/>
      <c r="N278" s="2921"/>
      <c r="O278" s="3563"/>
      <c r="P278" s="2940"/>
    </row>
    <row r="279" spans="2:16" s="2846" customFormat="1" ht="15.6">
      <c r="B279" s="2940"/>
      <c r="C279" s="2924"/>
      <c r="D279" s="2897"/>
      <c r="E279" s="2484"/>
      <c r="F279" s="2946"/>
      <c r="G279" s="2924"/>
      <c r="H279" s="2946"/>
      <c r="I279" s="2924"/>
      <c r="J279" s="2946"/>
      <c r="K279" s="2924"/>
      <c r="L279" s="2921"/>
      <c r="M279" s="798"/>
      <c r="N279" s="2921"/>
      <c r="O279" s="3563"/>
      <c r="P279" s="2940"/>
    </row>
    <row r="280" spans="2:16" s="2846" customFormat="1" ht="15.6">
      <c r="B280" s="2940"/>
      <c r="C280" s="2924"/>
      <c r="D280" s="2897"/>
      <c r="E280" s="2484"/>
      <c r="F280" s="2946"/>
      <c r="G280" s="2924"/>
      <c r="H280" s="2946"/>
      <c r="I280" s="2924"/>
      <c r="J280" s="2946"/>
      <c r="K280" s="2924"/>
      <c r="L280" s="2921"/>
      <c r="M280" s="2948"/>
      <c r="N280" s="2949"/>
      <c r="O280" s="2948"/>
      <c r="P280" s="2940"/>
    </row>
    <row r="281" spans="2:16" ht="15.6">
      <c r="B281" s="2940"/>
      <c r="C281" s="2924"/>
      <c r="D281" s="2897"/>
      <c r="E281" s="2484"/>
      <c r="F281" s="2946"/>
      <c r="G281" s="2924"/>
      <c r="H281" s="2946"/>
      <c r="I281" s="2924"/>
      <c r="J281" s="2946"/>
      <c r="K281" s="2924"/>
      <c r="L281" s="2921"/>
      <c r="M281" s="798"/>
      <c r="N281" s="2921"/>
      <c r="O281" s="3563"/>
      <c r="P281" s="2940"/>
    </row>
    <row r="282" spans="2:16" ht="15.6">
      <c r="G282" s="2924"/>
    </row>
    <row r="287" spans="2:16" ht="15.6">
      <c r="C287" s="2819"/>
      <c r="D287" s="2818"/>
      <c r="E287" s="2819"/>
      <c r="F287" s="2820"/>
      <c r="H287" s="2953"/>
      <c r="I287" s="2954"/>
      <c r="J287" s="2953"/>
      <c r="K287" s="2954"/>
      <c r="L287" s="2953"/>
    </row>
    <row r="288" spans="2:16" ht="15.6">
      <c r="C288" s="2819"/>
      <c r="D288" s="2818"/>
      <c r="E288" s="2819"/>
      <c r="F288" s="2820"/>
      <c r="G288" s="2954"/>
      <c r="H288" s="2953"/>
      <c r="I288" s="2954"/>
      <c r="J288" s="2953"/>
      <c r="K288" s="2954"/>
      <c r="L288" s="2953"/>
    </row>
    <row r="289" spans="3:12" ht="15.6">
      <c r="C289" s="2819"/>
      <c r="D289" s="2818"/>
      <c r="E289" s="2819"/>
      <c r="F289" s="2820"/>
      <c r="G289" s="2954"/>
      <c r="H289" s="2953"/>
      <c r="I289" s="2954"/>
      <c r="J289" s="2953"/>
      <c r="K289" s="2954"/>
      <c r="L289" s="2953"/>
    </row>
    <row r="290" spans="3:12" ht="15.6">
      <c r="C290" s="2819"/>
      <c r="D290" s="2818"/>
      <c r="E290" s="2819"/>
      <c r="F290" s="2820"/>
      <c r="G290" s="2954"/>
      <c r="H290" s="2953"/>
      <c r="I290" s="2954"/>
      <c r="J290" s="2953"/>
      <c r="K290" s="2954"/>
      <c r="L290" s="2953"/>
    </row>
    <row r="291" spans="3:12" ht="15.6">
      <c r="C291" s="2819"/>
      <c r="D291" s="2818"/>
      <c r="E291" s="2819"/>
      <c r="F291" s="2820"/>
      <c r="G291" s="2954"/>
      <c r="H291" s="2953"/>
      <c r="I291" s="2954"/>
      <c r="J291" s="2953"/>
      <c r="K291" s="2954"/>
      <c r="L291" s="2953"/>
    </row>
    <row r="292" spans="3:12">
      <c r="G292" s="2954"/>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4 N204 L209 N209 L256 N256 L259 N259 L12:N13 L103:N104 L187:N188 L200:N201 L205:N206 L210:N211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81640625" defaultRowHeight="13.2"/>
  <cols>
    <col min="1" max="1" width="54.81640625" style="479" customWidth="1"/>
    <col min="2" max="2" width="13.81640625" style="1543" customWidth="1"/>
    <col min="3" max="3" width="1.81640625" style="1543" customWidth="1"/>
    <col min="4" max="4" width="13.81640625" style="1543" customWidth="1"/>
    <col min="5" max="5" width="1.81640625" style="1542" customWidth="1"/>
    <col min="6" max="6" width="13.81640625" style="1543" customWidth="1"/>
    <col min="7" max="7" width="1.81640625" style="1542" customWidth="1"/>
    <col min="8" max="8" width="13.81640625" style="1543" customWidth="1"/>
    <col min="9" max="9" width="1.81640625" style="1542" customWidth="1"/>
    <col min="10" max="10" width="13.81640625" style="1543" customWidth="1"/>
    <col min="11" max="11" width="1.81640625" style="1543" customWidth="1"/>
    <col min="12" max="12" width="13.81640625" style="1543" customWidth="1"/>
    <col min="13" max="13" width="1.81640625" style="1542" customWidth="1"/>
    <col min="14" max="14" width="13.81640625" style="1543" customWidth="1"/>
    <col min="15" max="15" width="1.81640625" style="1542" customWidth="1"/>
    <col min="16" max="16" width="13.81640625" style="1543" customWidth="1"/>
    <col min="17" max="17" width="1.81640625" style="1542" customWidth="1"/>
    <col min="18" max="18" width="13.81640625" style="1543" customWidth="1"/>
    <col min="19" max="19" width="1.81640625" style="1542" customWidth="1"/>
    <col min="20" max="20" width="13.81640625" style="1543" customWidth="1"/>
    <col min="21" max="21" width="1.81640625" style="1542" customWidth="1"/>
    <col min="22" max="22" width="13.81640625" style="1543" customWidth="1"/>
    <col min="23" max="23" width="1.81640625" style="1542" customWidth="1"/>
    <col min="24" max="24" width="13.81640625" style="1543" customWidth="1"/>
    <col min="25" max="25" width="1.81640625" style="1542" customWidth="1"/>
    <col min="26" max="26" width="18.81640625" style="404" customWidth="1"/>
    <col min="27" max="27" width="1.54296875" style="479" customWidth="1"/>
    <col min="28" max="28" width="18.81640625" style="479" bestFit="1" customWidth="1"/>
    <col min="29" max="29" width="12.81640625" style="479" bestFit="1" customWidth="1"/>
    <col min="30" max="16384" width="8.81640625" style="479"/>
  </cols>
  <sheetData>
    <row r="1" spans="1:40" ht="15">
      <c r="A1" s="925" t="s">
        <v>881</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row>
    <row r="2" spans="1:40" ht="15">
      <c r="A2" s="925"/>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row>
    <row r="3" spans="1:40" ht="24" customHeight="1">
      <c r="A3" s="805" t="s">
        <v>0</v>
      </c>
      <c r="B3" s="476"/>
      <c r="C3" s="476"/>
      <c r="D3" s="477"/>
      <c r="E3" s="478"/>
      <c r="F3" s="477"/>
      <c r="G3" s="478"/>
      <c r="H3" s="477"/>
      <c r="I3" s="478"/>
      <c r="K3" s="476"/>
      <c r="L3" s="403"/>
      <c r="M3" s="476"/>
      <c r="N3" s="477"/>
      <c r="O3" s="478"/>
      <c r="P3" s="477"/>
      <c r="Q3" s="478"/>
      <c r="R3" s="477"/>
      <c r="S3" s="478"/>
      <c r="T3" s="477"/>
      <c r="U3" s="478"/>
      <c r="V3" s="477"/>
      <c r="W3" s="478"/>
      <c r="X3" s="477"/>
      <c r="Y3" s="478"/>
      <c r="Z3" s="795" t="s">
        <v>557</v>
      </c>
      <c r="AA3" s="476"/>
      <c r="AC3" s="476"/>
      <c r="AE3" s="476"/>
    </row>
    <row r="4" spans="1:40" ht="16.8">
      <c r="A4" s="805" t="s">
        <v>1276</v>
      </c>
      <c r="B4" s="1297"/>
      <c r="C4" s="1297"/>
      <c r="D4" s="480"/>
      <c r="E4" s="478"/>
      <c r="F4" s="1297"/>
      <c r="G4" s="478"/>
      <c r="H4" s="1297"/>
      <c r="I4" s="478"/>
      <c r="J4" s="1297"/>
      <c r="K4" s="1297"/>
      <c r="L4" s="1297"/>
      <c r="M4" s="481"/>
      <c r="N4" s="1297"/>
      <c r="O4" s="478"/>
      <c r="P4" s="1297"/>
      <c r="Q4" s="478"/>
      <c r="R4" s="1297"/>
      <c r="S4" s="478"/>
      <c r="T4" s="1297"/>
      <c r="U4" s="478"/>
      <c r="V4" s="1297"/>
      <c r="W4" s="478"/>
      <c r="X4" s="1297"/>
      <c r="Y4" s="478"/>
      <c r="Z4" s="1298"/>
      <c r="AA4" s="482"/>
      <c r="AC4" s="476"/>
    </row>
    <row r="5" spans="1:40" ht="16.8">
      <c r="A5" s="806" t="s">
        <v>1074</v>
      </c>
      <c r="B5" s="1297"/>
      <c r="C5" s="1297"/>
      <c r="D5" s="1297"/>
      <c r="E5" s="478"/>
      <c r="F5" s="1297"/>
      <c r="G5" s="478"/>
      <c r="H5" s="1297"/>
      <c r="I5" s="478"/>
      <c r="J5" s="1297"/>
      <c r="K5" s="1297"/>
      <c r="L5" s="1297"/>
      <c r="M5" s="481"/>
      <c r="N5" s="1297"/>
      <c r="O5" s="478"/>
      <c r="P5" s="1297"/>
      <c r="Q5" s="478"/>
      <c r="R5" s="1297"/>
      <c r="S5" s="478"/>
      <c r="T5" s="1297"/>
      <c r="U5" s="478"/>
      <c r="V5" s="1297"/>
      <c r="W5" s="478"/>
      <c r="X5" s="1297"/>
      <c r="Y5" s="478"/>
      <c r="Z5" s="1298"/>
    </row>
    <row r="6" spans="1:40" ht="18" customHeight="1">
      <c r="A6" s="483" t="str">
        <f>'Cashflow Governmental'!A6</f>
        <v xml:space="preserve">FISCAL YEAR 2021-2022   </v>
      </c>
      <c r="B6" s="1297"/>
      <c r="C6" s="1297"/>
      <c r="D6" s="485"/>
      <c r="E6" s="478"/>
      <c r="F6" s="1297"/>
      <c r="G6" s="478"/>
      <c r="H6" s="1297"/>
      <c r="I6" s="478"/>
      <c r="J6" s="1297"/>
      <c r="K6" s="1297"/>
      <c r="L6" s="1297"/>
      <c r="M6" s="481"/>
      <c r="N6" s="1297"/>
      <c r="O6" s="478"/>
      <c r="P6" s="1297"/>
      <c r="Q6" s="478"/>
      <c r="R6" s="1297"/>
      <c r="S6" s="478"/>
      <c r="T6" s="1297"/>
      <c r="U6" s="478"/>
      <c r="V6" s="1297"/>
      <c r="W6" s="478"/>
      <c r="X6" s="1297"/>
      <c r="Y6" s="478"/>
      <c r="Z6" s="1298"/>
    </row>
    <row r="7" spans="1:40" ht="15" customHeight="1">
      <c r="A7" s="484"/>
      <c r="B7" s="1297"/>
      <c r="C7" s="1297"/>
      <c r="D7" s="1297"/>
      <c r="E7" s="478"/>
      <c r="F7" s="1297"/>
      <c r="G7" s="478"/>
      <c r="H7" s="1297"/>
      <c r="I7" s="478"/>
      <c r="J7" s="1297"/>
      <c r="K7" s="1297"/>
      <c r="L7" s="1297"/>
      <c r="M7" s="481"/>
      <c r="N7" s="1297"/>
      <c r="O7" s="478"/>
      <c r="P7" s="1297"/>
      <c r="Q7" s="478"/>
      <c r="R7" s="1299"/>
      <c r="S7" s="478"/>
      <c r="T7" s="1299"/>
      <c r="U7" s="478"/>
      <c r="V7" s="1299"/>
      <c r="W7" s="478"/>
      <c r="X7" s="1299"/>
      <c r="Y7" s="478"/>
      <c r="Z7" s="1298"/>
    </row>
    <row r="8" spans="1:40" ht="15.6">
      <c r="A8" s="475"/>
      <c r="B8" s="1297"/>
      <c r="C8" s="1297"/>
      <c r="D8" s="1297"/>
      <c r="E8" s="478"/>
      <c r="F8" s="1297"/>
      <c r="G8" s="478"/>
      <c r="H8" s="1297"/>
      <c r="I8" s="478"/>
      <c r="J8" s="1297"/>
      <c r="K8" s="1297"/>
      <c r="L8" s="1297"/>
      <c r="M8" s="478"/>
      <c r="N8" s="1297"/>
      <c r="O8" s="478"/>
      <c r="P8" s="1297"/>
      <c r="Q8" s="478"/>
      <c r="R8" s="1297"/>
      <c r="S8" s="478"/>
      <c r="T8" s="1297"/>
      <c r="U8" s="478"/>
      <c r="V8" s="1297"/>
      <c r="W8" s="478"/>
      <c r="X8" s="1297"/>
      <c r="Y8" s="478"/>
      <c r="Z8" s="486"/>
      <c r="AA8" s="487"/>
    </row>
    <row r="9" spans="1:40" ht="15" customHeight="1">
      <c r="A9" s="1300"/>
      <c r="B9" s="897" t="str">
        <f>'Cashflow Governmental'!C13</f>
        <v>2021</v>
      </c>
      <c r="C9" s="488"/>
      <c r="D9" s="488"/>
      <c r="E9" s="481"/>
      <c r="F9" s="488"/>
      <c r="G9" s="481"/>
      <c r="H9" s="488"/>
      <c r="I9" s="481"/>
      <c r="J9" s="488"/>
      <c r="K9" s="488"/>
      <c r="L9" s="489"/>
      <c r="M9" s="481"/>
      <c r="N9" s="489"/>
      <c r="O9" s="481"/>
      <c r="P9" s="489"/>
      <c r="Q9" s="481"/>
      <c r="R9" s="489"/>
      <c r="S9" s="481"/>
      <c r="T9" s="897">
        <f>'Cashflow Governmental'!U13</f>
        <v>2022</v>
      </c>
      <c r="U9" s="481"/>
      <c r="V9" s="489"/>
      <c r="W9" s="481"/>
      <c r="X9" s="489"/>
      <c r="Y9" s="481"/>
      <c r="Z9" s="490" t="s">
        <v>1580</v>
      </c>
      <c r="AA9" s="490"/>
    </row>
    <row r="10" spans="1:40" ht="15" customHeight="1">
      <c r="A10" s="1300"/>
      <c r="B10" s="491" t="s">
        <v>123</v>
      </c>
      <c r="C10" s="492"/>
      <c r="D10" s="489" t="s">
        <v>124</v>
      </c>
      <c r="E10" s="481"/>
      <c r="F10" s="489" t="s">
        <v>125</v>
      </c>
      <c r="G10" s="481"/>
      <c r="H10" s="489" t="s">
        <v>126</v>
      </c>
      <c r="I10" s="481"/>
      <c r="J10" s="489" t="s">
        <v>127</v>
      </c>
      <c r="K10" s="493"/>
      <c r="L10" s="489" t="s">
        <v>142</v>
      </c>
      <c r="M10" s="481"/>
      <c r="N10" s="489" t="s">
        <v>143</v>
      </c>
      <c r="O10" s="481"/>
      <c r="P10" s="489" t="s">
        <v>130</v>
      </c>
      <c r="Q10" s="481"/>
      <c r="R10" s="489" t="s">
        <v>131</v>
      </c>
      <c r="S10" s="481"/>
      <c r="T10" s="489" t="s">
        <v>132</v>
      </c>
      <c r="U10" s="481"/>
      <c r="V10" s="489" t="s">
        <v>133</v>
      </c>
      <c r="W10" s="481"/>
      <c r="X10" s="489" t="s">
        <v>184</v>
      </c>
      <c r="Y10" s="481"/>
      <c r="Z10" s="494" t="s">
        <v>1564</v>
      </c>
      <c r="AA10" s="494"/>
    </row>
    <row r="11" spans="1:40" ht="15" customHeight="1">
      <c r="A11" s="1300"/>
      <c r="B11" s="1556" t="s">
        <v>14</v>
      </c>
      <c r="C11" s="1301"/>
      <c r="D11" s="1556" t="s">
        <v>14</v>
      </c>
      <c r="E11" s="1302"/>
      <c r="F11" s="1556" t="s">
        <v>14</v>
      </c>
      <c r="G11" s="1302"/>
      <c r="H11" s="1556" t="s">
        <v>14</v>
      </c>
      <c r="I11" s="1302"/>
      <c r="J11" s="1556" t="s">
        <v>14</v>
      </c>
      <c r="K11" s="493"/>
      <c r="L11" s="1556" t="s">
        <v>14</v>
      </c>
      <c r="M11" s="1302"/>
      <c r="N11" s="1556" t="s">
        <v>14</v>
      </c>
      <c r="O11" s="1302"/>
      <c r="P11" s="1556" t="s">
        <v>14</v>
      </c>
      <c r="Q11" s="1302"/>
      <c r="R11" s="1556" t="s">
        <v>14</v>
      </c>
      <c r="S11" s="1302"/>
      <c r="T11" s="1556" t="s">
        <v>14</v>
      </c>
      <c r="U11" s="1302"/>
      <c r="V11" s="1556" t="s">
        <v>14</v>
      </c>
      <c r="W11" s="1302"/>
      <c r="X11" s="1556" t="s">
        <v>14</v>
      </c>
      <c r="Y11" s="1302"/>
      <c r="Z11" s="1555" t="s">
        <v>14</v>
      </c>
      <c r="AB11" s="495"/>
      <c r="AC11" s="495"/>
      <c r="AD11" s="495"/>
      <c r="AE11" s="495"/>
      <c r="AF11" s="495"/>
      <c r="AG11" s="495"/>
      <c r="AH11" s="495"/>
      <c r="AI11" s="495"/>
      <c r="AJ11" s="495"/>
      <c r="AK11" s="495"/>
      <c r="AL11" s="495"/>
      <c r="AM11" s="495"/>
      <c r="AN11" s="495"/>
    </row>
    <row r="12" spans="1:40" s="500" customFormat="1" ht="15" customHeight="1">
      <c r="A12" s="807" t="s">
        <v>467</v>
      </c>
      <c r="B12" s="509">
        <v>96722524</v>
      </c>
      <c r="C12" s="497"/>
      <c r="D12" s="496">
        <f>B45</f>
        <v>83609252</v>
      </c>
      <c r="E12" s="1303"/>
      <c r="F12" s="496">
        <f>D45</f>
        <v>39931404</v>
      </c>
      <c r="G12" s="1303"/>
      <c r="H12" s="496">
        <f>F45</f>
        <v>84394170</v>
      </c>
      <c r="I12" s="1303"/>
      <c r="J12" s="496">
        <f>H45</f>
        <v>74940119</v>
      </c>
      <c r="K12" s="498"/>
      <c r="L12" s="496">
        <f>J45</f>
        <v>56499178</v>
      </c>
      <c r="M12" s="499"/>
      <c r="N12" s="496">
        <f>L45</f>
        <v>39300502</v>
      </c>
      <c r="O12" s="496"/>
      <c r="P12" s="496">
        <f>N45</f>
        <v>95669098</v>
      </c>
      <c r="Q12" s="496"/>
      <c r="R12" s="496">
        <f>P45</f>
        <v>74343891</v>
      </c>
      <c r="S12" s="496"/>
      <c r="T12" s="496">
        <f>R45</f>
        <v>32480141</v>
      </c>
      <c r="U12" s="496"/>
      <c r="V12" s="496"/>
      <c r="W12" s="496"/>
      <c r="X12" s="496"/>
      <c r="Y12" s="496"/>
      <c r="Z12" s="496">
        <f>+B12</f>
        <v>96722524</v>
      </c>
    </row>
    <row r="13" spans="1:40" ht="15" customHeight="1">
      <c r="A13" s="1304"/>
      <c r="B13" s="1305"/>
      <c r="C13" s="1306"/>
      <c r="D13" s="1305"/>
      <c r="E13" s="1305"/>
      <c r="F13" s="1305"/>
      <c r="G13" s="1305"/>
      <c r="H13" s="1305"/>
      <c r="I13" s="1305"/>
      <c r="J13" s="1305"/>
      <c r="K13" s="493"/>
      <c r="L13" s="1305"/>
      <c r="M13" s="1305"/>
      <c r="N13" s="1305"/>
      <c r="O13" s="1305"/>
      <c r="P13" s="1305"/>
      <c r="Q13" s="1305"/>
      <c r="R13" s="1305"/>
      <c r="S13" s="1305"/>
      <c r="T13" s="1305"/>
      <c r="U13" s="1305"/>
      <c r="V13" s="1305"/>
      <c r="W13" s="1305"/>
      <c r="X13" s="1305"/>
      <c r="Y13" s="1305"/>
      <c r="Z13" s="1307"/>
    </row>
    <row r="14" spans="1:40" ht="15" customHeight="1">
      <c r="A14" s="501" t="s">
        <v>13</v>
      </c>
      <c r="B14" s="1305"/>
      <c r="C14" s="1306"/>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7"/>
      <c r="AC14" s="1846"/>
    </row>
    <row r="15" spans="1:40" ht="15" customHeight="1">
      <c r="A15" s="808" t="s">
        <v>1127</v>
      </c>
      <c r="B15" s="1313">
        <v>0</v>
      </c>
      <c r="C15" s="1314"/>
      <c r="D15" s="1313">
        <v>0</v>
      </c>
      <c r="E15" s="1313"/>
      <c r="F15" s="1313">
        <v>70000000</v>
      </c>
      <c r="G15" s="1308"/>
      <c r="H15" s="1313">
        <v>0</v>
      </c>
      <c r="I15" s="1308"/>
      <c r="J15" s="1846">
        <v>0</v>
      </c>
      <c r="K15" s="1308"/>
      <c r="L15" s="1313">
        <v>0</v>
      </c>
      <c r="M15" s="1305"/>
      <c r="N15" s="1313">
        <v>65000000</v>
      </c>
      <c r="O15" s="1308"/>
      <c r="P15" s="1313">
        <v>0</v>
      </c>
      <c r="Q15" s="1308"/>
      <c r="R15" s="1313">
        <v>0</v>
      </c>
      <c r="S15" s="1308"/>
      <c r="T15" s="1313">
        <v>50000000</v>
      </c>
      <c r="U15" s="1308"/>
      <c r="V15" s="1313"/>
      <c r="W15" s="1308"/>
      <c r="X15" s="1313"/>
      <c r="Y15" s="1308"/>
      <c r="Z15" s="1310">
        <f>SUM(B15:X15)</f>
        <v>185000000</v>
      </c>
    </row>
    <row r="16" spans="1:40" ht="15" customHeight="1">
      <c r="A16" s="808" t="s">
        <v>1346</v>
      </c>
      <c r="B16" s="1313">
        <v>1407</v>
      </c>
      <c r="C16" s="1314"/>
      <c r="D16" s="1313">
        <v>0</v>
      </c>
      <c r="E16" s="1313"/>
      <c r="F16" s="1313">
        <v>0</v>
      </c>
      <c r="G16" s="1308"/>
      <c r="H16" s="1313">
        <v>0</v>
      </c>
      <c r="I16" s="1308"/>
      <c r="J16" s="1846">
        <v>0</v>
      </c>
      <c r="K16" s="1308"/>
      <c r="L16" s="1313">
        <v>0</v>
      </c>
      <c r="M16" s="1305"/>
      <c r="N16" s="1313">
        <v>0</v>
      </c>
      <c r="O16" s="1308"/>
      <c r="P16" s="1313">
        <v>0</v>
      </c>
      <c r="Q16" s="1308"/>
      <c r="R16" s="1313">
        <v>0</v>
      </c>
      <c r="S16" s="1308"/>
      <c r="T16" s="1313">
        <v>0</v>
      </c>
      <c r="U16" s="1308"/>
      <c r="V16" s="1313"/>
      <c r="W16" s="1308"/>
      <c r="X16" s="1313"/>
      <c r="Y16" s="1308"/>
      <c r="Z16" s="1310">
        <f>SUM(B16:X16)</f>
        <v>1407</v>
      </c>
    </row>
    <row r="17" spans="1:28" s="500" customFormat="1" ht="22.5" customHeight="1">
      <c r="A17" s="501" t="s">
        <v>149</v>
      </c>
      <c r="B17" s="1554">
        <f>ROUND(SUM(B15:B16),0)</f>
        <v>1407</v>
      </c>
      <c r="C17" s="502"/>
      <c r="D17" s="1554">
        <f>ROUND(SUM(D15:D16),0)</f>
        <v>0</v>
      </c>
      <c r="E17" s="503"/>
      <c r="F17" s="1554">
        <f>ROUND(SUM(F15:F16),0)</f>
        <v>70000000</v>
      </c>
      <c r="G17" s="503"/>
      <c r="H17" s="1554">
        <f>ROUND(SUM(H15:H16),0)</f>
        <v>0</v>
      </c>
      <c r="I17" s="503"/>
      <c r="J17" s="1554">
        <f>ROUND(SUM(J15:J16),0)</f>
        <v>0</v>
      </c>
      <c r="K17" s="505"/>
      <c r="L17" s="1554">
        <f>ROUND(SUM(L15:L16),0)</f>
        <v>0</v>
      </c>
      <c r="M17" s="499"/>
      <c r="N17" s="1554">
        <f>ROUND(SUM(N15:N16),0)</f>
        <v>65000000</v>
      </c>
      <c r="O17" s="503"/>
      <c r="P17" s="1554">
        <f>ROUND(SUM(P15:P16),0)</f>
        <v>0</v>
      </c>
      <c r="Q17" s="503"/>
      <c r="R17" s="1554">
        <f>ROUND(SUM(R15:R16),0)</f>
        <v>0</v>
      </c>
      <c r="S17" s="503"/>
      <c r="T17" s="1554">
        <f>ROUND(SUM(T15:T16),0)</f>
        <v>50000000</v>
      </c>
      <c r="U17" s="503"/>
      <c r="V17" s="1554">
        <f>ROUND(SUM(V15:V16),0)</f>
        <v>0</v>
      </c>
      <c r="W17" s="503"/>
      <c r="X17" s="1554">
        <f>ROUND(SUM(X15:X16),0)</f>
        <v>0</v>
      </c>
      <c r="Y17" s="503"/>
      <c r="Z17" s="1554">
        <f>ROUND(SUM(Z15:Z16),0)</f>
        <v>185001407</v>
      </c>
      <c r="AB17" s="405"/>
    </row>
    <row r="18" spans="1:28" ht="15" customHeight="1">
      <c r="A18" s="1304"/>
      <c r="B18" s="1308"/>
      <c r="C18" s="1309"/>
      <c r="D18" s="1308"/>
      <c r="E18" s="1308"/>
      <c r="F18" s="1308"/>
      <c r="G18" s="1308"/>
      <c r="H18" s="1308"/>
      <c r="I18" s="1308"/>
      <c r="J18" s="1308"/>
      <c r="K18" s="1308"/>
      <c r="L18" s="1308"/>
      <c r="M18" s="1305"/>
      <c r="N18" s="1308"/>
      <c r="O18" s="1308"/>
      <c r="P18" s="1308"/>
      <c r="Q18" s="1308"/>
      <c r="R18" s="1308"/>
      <c r="S18" s="1308"/>
      <c r="T18" s="1308"/>
      <c r="U18" s="1308"/>
      <c r="V18" s="1308"/>
      <c r="W18" s="1308"/>
      <c r="X18" s="1308"/>
      <c r="Y18" s="1308"/>
      <c r="Z18" s="1312"/>
    </row>
    <row r="19" spans="1:28" ht="15" customHeight="1">
      <c r="A19" s="501" t="s">
        <v>22</v>
      </c>
      <c r="B19" s="1308"/>
      <c r="C19" s="1309"/>
      <c r="D19" s="1308"/>
      <c r="E19" s="1308"/>
      <c r="F19" s="1308"/>
      <c r="G19" s="1308"/>
      <c r="H19" s="1308"/>
      <c r="I19" s="1308"/>
      <c r="J19" s="1308"/>
      <c r="K19" s="1308"/>
      <c r="L19" s="1313"/>
      <c r="M19" s="1315"/>
      <c r="N19" s="1313"/>
      <c r="O19" s="1308"/>
      <c r="P19" s="1308"/>
      <c r="Q19" s="1308"/>
      <c r="R19" s="1308"/>
      <c r="S19" s="1308"/>
      <c r="T19" s="1308"/>
      <c r="U19" s="1308"/>
      <c r="V19" s="1308"/>
      <c r="W19" s="1308"/>
      <c r="X19" s="1308"/>
      <c r="Y19" s="1308"/>
      <c r="Z19" s="1310"/>
    </row>
    <row r="20" spans="1:28" ht="15" customHeight="1">
      <c r="A20" s="808" t="s">
        <v>1170</v>
      </c>
      <c r="B20" s="1308">
        <v>731174</v>
      </c>
      <c r="C20" s="1309"/>
      <c r="D20" s="1308">
        <v>1659409</v>
      </c>
      <c r="E20" s="1308"/>
      <c r="F20" s="1308">
        <v>2836458</v>
      </c>
      <c r="G20" s="1308"/>
      <c r="H20" s="1308">
        <v>1124218</v>
      </c>
      <c r="I20" s="1308"/>
      <c r="J20" s="1308">
        <v>1913433</v>
      </c>
      <c r="K20" s="1308"/>
      <c r="L20" s="1313">
        <v>2199742</v>
      </c>
      <c r="M20" s="1315"/>
      <c r="N20" s="1313">
        <v>1589959</v>
      </c>
      <c r="O20" s="1308"/>
      <c r="P20" s="1313">
        <v>1685270</v>
      </c>
      <c r="Q20" s="1308"/>
      <c r="R20" s="1308">
        <v>3080980</v>
      </c>
      <c r="S20" s="1308"/>
      <c r="T20" s="1308">
        <v>1930703</v>
      </c>
      <c r="U20" s="1308"/>
      <c r="V20" s="1308"/>
      <c r="W20" s="1308"/>
      <c r="X20" s="1308"/>
      <c r="Y20" s="1308"/>
      <c r="Z20" s="1310">
        <f t="shared" ref="Z20:Z27" si="0">ROUND(SUM(B20:X20),0)</f>
        <v>18751346</v>
      </c>
    </row>
    <row r="21" spans="1:28" ht="15" customHeight="1">
      <c r="A21" s="808" t="s">
        <v>1126</v>
      </c>
      <c r="B21" s="1308">
        <v>4076555</v>
      </c>
      <c r="C21" s="1314"/>
      <c r="D21" s="1313">
        <v>25384346</v>
      </c>
      <c r="E21" s="1313"/>
      <c r="F21" s="1313">
        <v>8629425</v>
      </c>
      <c r="G21" s="1313"/>
      <c r="H21" s="1313">
        <v>1424023</v>
      </c>
      <c r="I21" s="1313"/>
      <c r="J21" s="1313">
        <v>6832125</v>
      </c>
      <c r="K21" s="1313"/>
      <c r="L21" s="1313">
        <f>269424</f>
        <v>269424</v>
      </c>
      <c r="M21" s="1315"/>
      <c r="N21" s="1313">
        <v>109148</v>
      </c>
      <c r="O21" s="1313"/>
      <c r="P21" s="1313">
        <v>1170562</v>
      </c>
      <c r="Q21" s="1313"/>
      <c r="R21" s="1313">
        <v>15316188</v>
      </c>
      <c r="S21" s="1313"/>
      <c r="T21" s="1313">
        <v>566449</v>
      </c>
      <c r="U21" s="1313"/>
      <c r="V21" s="1313"/>
      <c r="W21" s="1313"/>
      <c r="X21" s="1313"/>
      <c r="Y21" s="1313"/>
      <c r="Z21" s="3869">
        <f>ROUND(SUM(B21:X21),0)</f>
        <v>63778245</v>
      </c>
    </row>
    <row r="22" spans="1:28" ht="15" customHeight="1">
      <c r="A22" s="808" t="s">
        <v>1196</v>
      </c>
      <c r="B22" s="1308">
        <v>379374</v>
      </c>
      <c r="C22" s="1314"/>
      <c r="D22" s="1313">
        <v>1452326</v>
      </c>
      <c r="E22" s="1313"/>
      <c r="F22" s="1313">
        <v>407573</v>
      </c>
      <c r="G22" s="1313"/>
      <c r="H22" s="1313">
        <v>29085</v>
      </c>
      <c r="I22" s="1313"/>
      <c r="J22" s="1313">
        <v>450219</v>
      </c>
      <c r="K22" s="1313"/>
      <c r="L22" s="1313">
        <v>490042</v>
      </c>
      <c r="M22" s="1315"/>
      <c r="N22" s="1313">
        <v>216715</v>
      </c>
      <c r="O22" s="1313"/>
      <c r="P22" s="1313">
        <v>0</v>
      </c>
      <c r="Q22" s="1313"/>
      <c r="R22" s="1313">
        <v>152472</v>
      </c>
      <c r="S22" s="1313"/>
      <c r="T22" s="1313">
        <v>79873</v>
      </c>
      <c r="U22" s="1313"/>
      <c r="V22" s="1313"/>
      <c r="W22" s="1313"/>
      <c r="X22" s="1313"/>
      <c r="Y22" s="1313"/>
      <c r="Z22" s="3869">
        <f t="shared" si="0"/>
        <v>3657679</v>
      </c>
      <c r="AB22" s="3354"/>
    </row>
    <row r="23" spans="1:28" ht="15" customHeight="1">
      <c r="A23" s="808" t="s">
        <v>1174</v>
      </c>
      <c r="B23" s="1308">
        <v>0</v>
      </c>
      <c r="C23" s="1314"/>
      <c r="D23" s="1313">
        <v>1446891</v>
      </c>
      <c r="E23" s="1313"/>
      <c r="F23" s="1313">
        <v>415672</v>
      </c>
      <c r="G23" s="1313"/>
      <c r="H23" s="1313">
        <v>632562</v>
      </c>
      <c r="I23" s="1313"/>
      <c r="J23" s="1313">
        <f>514408</f>
        <v>514408</v>
      </c>
      <c r="K23" s="1313"/>
      <c r="L23" s="1313">
        <v>240587</v>
      </c>
      <c r="M23" s="1315"/>
      <c r="N23" s="1313">
        <v>683280</v>
      </c>
      <c r="O23" s="1313"/>
      <c r="P23" s="1313">
        <v>189071</v>
      </c>
      <c r="Q23" s="1313"/>
      <c r="R23" s="1313">
        <v>11384686</v>
      </c>
      <c r="S23" s="1313"/>
      <c r="T23" s="1313">
        <v>179938</v>
      </c>
      <c r="U23" s="1313"/>
      <c r="V23" s="1313"/>
      <c r="W23" s="1313"/>
      <c r="X23" s="1313"/>
      <c r="Y23" s="1313"/>
      <c r="Z23" s="3869">
        <f t="shared" si="0"/>
        <v>15687095</v>
      </c>
    </row>
    <row r="24" spans="1:28" ht="15" customHeight="1">
      <c r="A24" s="808" t="s">
        <v>1347</v>
      </c>
      <c r="B24" s="1308">
        <v>192187</v>
      </c>
      <c r="C24" s="1314"/>
      <c r="D24" s="1313">
        <v>415645</v>
      </c>
      <c r="E24" s="1313"/>
      <c r="F24" s="1313">
        <v>0</v>
      </c>
      <c r="G24" s="1313"/>
      <c r="H24" s="1313">
        <v>672776</v>
      </c>
      <c r="I24" s="1313"/>
      <c r="J24" s="1313">
        <v>0</v>
      </c>
      <c r="K24" s="1313"/>
      <c r="L24" s="1313">
        <v>665222.36</v>
      </c>
      <c r="M24" s="1315"/>
      <c r="N24" s="1313">
        <v>298056</v>
      </c>
      <c r="O24" s="1313"/>
      <c r="P24" s="1313">
        <v>186259</v>
      </c>
      <c r="Q24" s="1313"/>
      <c r="R24" s="1313">
        <v>0</v>
      </c>
      <c r="S24" s="1313"/>
      <c r="T24" s="1313">
        <v>532975</v>
      </c>
      <c r="U24" s="1313"/>
      <c r="V24" s="1313"/>
      <c r="W24" s="1313"/>
      <c r="X24" s="1313"/>
      <c r="Y24" s="1313"/>
      <c r="Z24" s="3869">
        <f t="shared" si="0"/>
        <v>2963120</v>
      </c>
    </row>
    <row r="25" spans="1:28" ht="15" customHeight="1">
      <c r="A25" s="808" t="s">
        <v>1209</v>
      </c>
      <c r="B25" s="1308">
        <v>0</v>
      </c>
      <c r="C25" s="1314"/>
      <c r="D25" s="1313">
        <v>0</v>
      </c>
      <c r="E25" s="1313"/>
      <c r="F25" s="1313">
        <v>0</v>
      </c>
      <c r="G25" s="1313"/>
      <c r="H25" s="1313">
        <v>0</v>
      </c>
      <c r="I25" s="1313"/>
      <c r="J25" s="1313">
        <v>0</v>
      </c>
      <c r="K25" s="1313"/>
      <c r="L25" s="1313">
        <v>0</v>
      </c>
      <c r="M25" s="1315"/>
      <c r="N25" s="1313">
        <v>0</v>
      </c>
      <c r="O25" s="1313"/>
      <c r="P25" s="1313">
        <v>0</v>
      </c>
      <c r="Q25" s="1313"/>
      <c r="R25" s="1313">
        <v>0</v>
      </c>
      <c r="S25" s="1313"/>
      <c r="T25" s="1313">
        <v>0</v>
      </c>
      <c r="U25" s="1313"/>
      <c r="V25" s="1313"/>
      <c r="W25" s="1313"/>
      <c r="X25" s="1313"/>
      <c r="Y25" s="1313"/>
      <c r="Z25" s="3869">
        <f t="shared" si="0"/>
        <v>0</v>
      </c>
    </row>
    <row r="26" spans="1:28" ht="15" customHeight="1">
      <c r="A26" s="808" t="s">
        <v>1125</v>
      </c>
      <c r="B26" s="1308">
        <v>0</v>
      </c>
      <c r="C26" s="1314"/>
      <c r="D26" s="1313">
        <v>276017</v>
      </c>
      <c r="E26" s="1313"/>
      <c r="F26" s="1313">
        <v>1910168</v>
      </c>
      <c r="G26" s="1313"/>
      <c r="H26" s="1313">
        <v>28159</v>
      </c>
      <c r="I26" s="1313"/>
      <c r="J26" s="1313">
        <v>1640711</v>
      </c>
      <c r="K26" s="1313"/>
      <c r="L26" s="1313">
        <v>2489128</v>
      </c>
      <c r="M26" s="1315"/>
      <c r="N26" s="1313">
        <v>49283</v>
      </c>
      <c r="O26" s="1313"/>
      <c r="P26" s="1313">
        <v>2775440</v>
      </c>
      <c r="Q26" s="1313"/>
      <c r="R26" s="1313">
        <v>3463583</v>
      </c>
      <c r="S26" s="1313"/>
      <c r="T26" s="1313">
        <v>101290</v>
      </c>
      <c r="U26" s="1313"/>
      <c r="V26" s="1313"/>
      <c r="W26" s="1313"/>
      <c r="X26" s="1313"/>
      <c r="Y26" s="1313"/>
      <c r="Z26" s="3869">
        <f t="shared" si="0"/>
        <v>12733779</v>
      </c>
    </row>
    <row r="27" spans="1:28" ht="15" customHeight="1">
      <c r="A27" s="808" t="s">
        <v>1188</v>
      </c>
      <c r="B27" s="1308">
        <v>0</v>
      </c>
      <c r="C27" s="1314"/>
      <c r="D27" s="1313">
        <v>0</v>
      </c>
      <c r="E27" s="1313"/>
      <c r="F27" s="1313">
        <v>0</v>
      </c>
      <c r="G27" s="1313"/>
      <c r="H27" s="1313">
        <v>0</v>
      </c>
      <c r="I27" s="1313"/>
      <c r="J27" s="1313">
        <v>0</v>
      </c>
      <c r="K27" s="1313"/>
      <c r="L27" s="1313">
        <v>0</v>
      </c>
      <c r="M27" s="1315"/>
      <c r="N27" s="1313">
        <v>0</v>
      </c>
      <c r="O27" s="1313"/>
      <c r="P27" s="1313">
        <v>0</v>
      </c>
      <c r="Q27" s="1313"/>
      <c r="R27" s="1313">
        <v>0</v>
      </c>
      <c r="S27" s="1313"/>
      <c r="T27" s="1313">
        <v>0</v>
      </c>
      <c r="U27" s="1313"/>
      <c r="V27" s="1313"/>
      <c r="W27" s="1313"/>
      <c r="X27" s="1313"/>
      <c r="Y27" s="1313"/>
      <c r="Z27" s="3869">
        <f t="shared" si="0"/>
        <v>0</v>
      </c>
    </row>
    <row r="28" spans="1:28" ht="14.85" customHeight="1">
      <c r="A28" s="808" t="s">
        <v>1197</v>
      </c>
      <c r="B28" s="1308">
        <v>0</v>
      </c>
      <c r="C28" s="1314"/>
      <c r="D28" s="1313">
        <v>0</v>
      </c>
      <c r="E28" s="1313"/>
      <c r="F28" s="1313">
        <v>994530</v>
      </c>
      <c r="G28" s="1313"/>
      <c r="H28" s="1313">
        <v>1437634</v>
      </c>
      <c r="I28" s="1313"/>
      <c r="J28" s="1313">
        <v>49999</v>
      </c>
      <c r="K28" s="1313"/>
      <c r="L28" s="1313">
        <v>2500000</v>
      </c>
      <c r="M28" s="1315"/>
      <c r="N28" s="1313">
        <v>0</v>
      </c>
      <c r="O28" s="1313"/>
      <c r="P28" s="1313">
        <v>0</v>
      </c>
      <c r="Q28" s="1313"/>
      <c r="R28" s="1313">
        <v>3000000</v>
      </c>
      <c r="S28" s="1313"/>
      <c r="T28" s="1313">
        <v>49684</v>
      </c>
      <c r="U28" s="1313"/>
      <c r="V28" s="1313"/>
      <c r="W28" s="1313"/>
      <c r="X28" s="1313"/>
      <c r="Y28" s="1313"/>
      <c r="Z28" s="3869">
        <f>ROUND(SUM(B28:X28),0)</f>
        <v>8031847</v>
      </c>
    </row>
    <row r="29" spans="1:28" ht="15" customHeight="1">
      <c r="A29" s="808" t="s">
        <v>1193</v>
      </c>
      <c r="B29" s="1308">
        <v>606923</v>
      </c>
      <c r="C29" s="1314"/>
      <c r="D29" s="1313">
        <v>2912068</v>
      </c>
      <c r="E29" s="1313"/>
      <c r="F29" s="1313">
        <v>843903</v>
      </c>
      <c r="G29" s="1313"/>
      <c r="H29" s="1313">
        <v>12017</v>
      </c>
      <c r="I29" s="1313"/>
      <c r="J29" s="1313">
        <v>1256401</v>
      </c>
      <c r="K29" s="1313"/>
      <c r="L29" s="1313">
        <v>364844</v>
      </c>
      <c r="M29" s="1315"/>
      <c r="N29" s="1313">
        <v>1120551</v>
      </c>
      <c r="O29" s="1313"/>
      <c r="P29" s="1313">
        <v>347292</v>
      </c>
      <c r="Q29" s="1313"/>
      <c r="R29" s="1313">
        <v>11418</v>
      </c>
      <c r="S29" s="1313"/>
      <c r="T29" s="1313">
        <v>2358883</v>
      </c>
      <c r="U29" s="1313"/>
      <c r="V29" s="1313"/>
      <c r="W29" s="1313"/>
      <c r="X29" s="1313"/>
      <c r="Y29" s="1313"/>
      <c r="Z29" s="1310">
        <f>ROUND(SUM(B29:X29),0)</f>
        <v>9834300</v>
      </c>
    </row>
    <row r="30" spans="1:28" ht="15" customHeight="1">
      <c r="A30" s="808" t="s">
        <v>1124</v>
      </c>
      <c r="B30" s="1308">
        <v>0</v>
      </c>
      <c r="C30" s="1314"/>
      <c r="D30" s="1313">
        <v>0</v>
      </c>
      <c r="E30" s="1313"/>
      <c r="F30" s="1313">
        <v>0</v>
      </c>
      <c r="G30" s="1313"/>
      <c r="H30" s="1313">
        <v>0</v>
      </c>
      <c r="I30" s="1313"/>
      <c r="J30" s="1313">
        <v>0</v>
      </c>
      <c r="K30" s="1313"/>
      <c r="L30" s="1313">
        <v>0</v>
      </c>
      <c r="M30" s="1315"/>
      <c r="N30" s="1313">
        <v>0</v>
      </c>
      <c r="O30" s="1313"/>
      <c r="P30" s="1313">
        <v>0</v>
      </c>
      <c r="Q30" s="1313"/>
      <c r="R30" s="1313">
        <v>0</v>
      </c>
      <c r="S30" s="1313"/>
      <c r="T30" s="1313">
        <v>0</v>
      </c>
      <c r="U30" s="1313"/>
      <c r="V30" s="1313"/>
      <c r="W30" s="1313"/>
      <c r="X30" s="1313"/>
      <c r="Y30" s="1313"/>
      <c r="Z30" s="1310">
        <f t="shared" ref="Z30:Z32" si="1">ROUND(SUM(B30:X30),0)</f>
        <v>0</v>
      </c>
    </row>
    <row r="31" spans="1:28" ht="15" customHeight="1">
      <c r="A31" s="808" t="s">
        <v>1156</v>
      </c>
      <c r="B31" s="1308">
        <v>0</v>
      </c>
      <c r="C31" s="1314"/>
      <c r="D31" s="1313">
        <v>0</v>
      </c>
      <c r="E31" s="1313"/>
      <c r="F31" s="1313">
        <v>0</v>
      </c>
      <c r="G31" s="1313"/>
      <c r="H31" s="1313">
        <v>0</v>
      </c>
      <c r="I31" s="1313"/>
      <c r="J31" s="1313">
        <v>-338</v>
      </c>
      <c r="K31" s="1313"/>
      <c r="L31" s="1313">
        <v>0</v>
      </c>
      <c r="M31" s="1315"/>
      <c r="N31" s="1313">
        <v>0</v>
      </c>
      <c r="O31" s="1313"/>
      <c r="P31" s="1313">
        <v>-2693</v>
      </c>
      <c r="Q31" s="1313"/>
      <c r="R31" s="1313">
        <v>-1207</v>
      </c>
      <c r="S31" s="1313"/>
      <c r="T31" s="1313">
        <v>0</v>
      </c>
      <c r="U31" s="1313"/>
      <c r="V31" s="1313"/>
      <c r="W31" s="1313"/>
      <c r="X31" s="1313"/>
      <c r="Y31" s="1313"/>
      <c r="Z31" s="1310">
        <f>ROUND(SUM(B31:X31),0)</f>
        <v>-4238</v>
      </c>
      <c r="AA31" s="1714"/>
      <c r="AB31" s="1714"/>
    </row>
    <row r="32" spans="1:28" ht="15" customHeight="1">
      <c r="A32" s="808" t="s">
        <v>1123</v>
      </c>
      <c r="B32" s="1308">
        <v>-101562</v>
      </c>
      <c r="C32" s="1314"/>
      <c r="D32" s="1313">
        <v>0</v>
      </c>
      <c r="E32" s="1313"/>
      <c r="F32" s="1313">
        <v>338083</v>
      </c>
      <c r="G32" s="1313"/>
      <c r="H32" s="1313">
        <v>0</v>
      </c>
      <c r="I32" s="1313"/>
      <c r="J32" s="1313">
        <v>-149466</v>
      </c>
      <c r="K32" s="1313"/>
      <c r="L32" s="1313">
        <v>0</v>
      </c>
      <c r="M32" s="1315"/>
      <c r="N32" s="1313">
        <v>11260</v>
      </c>
      <c r="O32" s="1313"/>
      <c r="P32" s="1313">
        <v>0</v>
      </c>
      <c r="Q32" s="1313"/>
      <c r="R32" s="1313">
        <v>75772</v>
      </c>
      <c r="S32" s="1313"/>
      <c r="T32" s="1313">
        <v>144634</v>
      </c>
      <c r="U32" s="1313"/>
      <c r="V32" s="1313"/>
      <c r="W32" s="1313"/>
      <c r="X32" s="1313"/>
      <c r="Y32" s="1313"/>
      <c r="Z32" s="1310">
        <f t="shared" si="1"/>
        <v>318721</v>
      </c>
    </row>
    <row r="33" spans="1:28" ht="15" customHeight="1">
      <c r="A33" s="808" t="s">
        <v>1122</v>
      </c>
      <c r="B33" s="1308">
        <v>0</v>
      </c>
      <c r="C33" s="1314"/>
      <c r="D33" s="1313">
        <v>0</v>
      </c>
      <c r="E33" s="1313"/>
      <c r="F33" s="1313">
        <v>0</v>
      </c>
      <c r="G33" s="1313"/>
      <c r="H33" s="1313">
        <v>0</v>
      </c>
      <c r="I33" s="1313"/>
      <c r="J33" s="1313">
        <v>0</v>
      </c>
      <c r="K33" s="1313"/>
      <c r="L33" s="1313">
        <v>0</v>
      </c>
      <c r="M33" s="1315"/>
      <c r="N33" s="1313">
        <v>0</v>
      </c>
      <c r="O33" s="1313"/>
      <c r="P33" s="1313">
        <v>0</v>
      </c>
      <c r="Q33" s="1313"/>
      <c r="R33" s="1313">
        <v>0</v>
      </c>
      <c r="S33" s="1313"/>
      <c r="T33" s="1313">
        <v>0</v>
      </c>
      <c r="U33" s="1313"/>
      <c r="V33" s="1313"/>
      <c r="W33" s="1313"/>
      <c r="X33" s="1313"/>
      <c r="Y33" s="1313"/>
      <c r="Z33" s="1310">
        <f>ROUND(SUM(B33:X33),0)</f>
        <v>0</v>
      </c>
    </row>
    <row r="34" spans="1:28" ht="15" customHeight="1">
      <c r="A34" s="808" t="s">
        <v>1121</v>
      </c>
      <c r="B34" s="1308">
        <v>866444</v>
      </c>
      <c r="C34" s="1314"/>
      <c r="D34" s="1313">
        <v>1948402</v>
      </c>
      <c r="E34" s="1313"/>
      <c r="F34" s="1313">
        <v>2911422</v>
      </c>
      <c r="G34" s="1313"/>
      <c r="H34" s="1313">
        <f>1491953</f>
        <v>1491953</v>
      </c>
      <c r="I34" s="1313"/>
      <c r="J34" s="1313">
        <v>283784</v>
      </c>
      <c r="K34" s="1313"/>
      <c r="L34" s="1313">
        <v>260226</v>
      </c>
      <c r="M34" s="1315"/>
      <c r="N34" s="1313">
        <v>2639993</v>
      </c>
      <c r="O34" s="1313"/>
      <c r="P34" s="1313">
        <v>3021771</v>
      </c>
      <c r="Q34" s="1313"/>
      <c r="R34" s="1313">
        <v>8333</v>
      </c>
      <c r="S34" s="1313"/>
      <c r="T34" s="1313">
        <v>250000</v>
      </c>
      <c r="U34" s="1313"/>
      <c r="V34" s="1313"/>
      <c r="W34" s="1313"/>
      <c r="X34" s="1313"/>
      <c r="Y34" s="1313"/>
      <c r="Z34" s="1310">
        <f>ROUND(SUM(B34:X34),0)</f>
        <v>13682328</v>
      </c>
    </row>
    <row r="35" spans="1:28" ht="15" customHeight="1">
      <c r="A35" s="808" t="s">
        <v>1162</v>
      </c>
      <c r="B35" s="1308">
        <v>0</v>
      </c>
      <c r="C35" s="1314"/>
      <c r="D35" s="1313">
        <v>0</v>
      </c>
      <c r="E35" s="1313"/>
      <c r="F35" s="1313">
        <v>0</v>
      </c>
      <c r="G35" s="1313"/>
      <c r="H35" s="1313">
        <v>0</v>
      </c>
      <c r="I35" s="1313"/>
      <c r="J35" s="1313">
        <v>0</v>
      </c>
      <c r="K35" s="1313"/>
      <c r="L35" s="1313">
        <v>0</v>
      </c>
      <c r="M35" s="1315"/>
      <c r="N35" s="1313">
        <v>0</v>
      </c>
      <c r="O35" s="1313"/>
      <c r="P35" s="1313">
        <v>0</v>
      </c>
      <c r="Q35" s="1313"/>
      <c r="R35" s="1313">
        <v>0</v>
      </c>
      <c r="S35" s="1313"/>
      <c r="T35" s="1313">
        <v>0</v>
      </c>
      <c r="U35" s="1313"/>
      <c r="V35" s="1313"/>
      <c r="W35" s="1313"/>
      <c r="X35" s="1313"/>
      <c r="Y35" s="1313"/>
      <c r="Z35" s="1310">
        <f>ROUND(SUM(B35:X35),0)</f>
        <v>0</v>
      </c>
    </row>
    <row r="36" spans="1:28" ht="15" customHeight="1">
      <c r="A36" s="808" t="s">
        <v>1138</v>
      </c>
      <c r="B36" s="1313">
        <v>6363584</v>
      </c>
      <c r="C36" s="1314"/>
      <c r="D36" s="1313">
        <v>8182744</v>
      </c>
      <c r="E36" s="1313"/>
      <c r="F36" s="1313">
        <v>6250000</v>
      </c>
      <c r="G36" s="1313"/>
      <c r="H36" s="1313">
        <v>2601624</v>
      </c>
      <c r="I36" s="1313"/>
      <c r="J36" s="1313">
        <v>5649665</v>
      </c>
      <c r="K36" s="1313"/>
      <c r="L36" s="1313">
        <f>7719461</f>
        <v>7719461</v>
      </c>
      <c r="M36" s="1315"/>
      <c r="N36" s="1313">
        <v>1913159</v>
      </c>
      <c r="O36" s="1313"/>
      <c r="P36" s="1313">
        <v>11952235</v>
      </c>
      <c r="Q36" s="1313"/>
      <c r="R36" s="1313">
        <v>5371525</v>
      </c>
      <c r="S36" s="1313"/>
      <c r="T36" s="1313">
        <v>3517631</v>
      </c>
      <c r="U36" s="1313"/>
      <c r="V36" s="1313"/>
      <c r="W36" s="1313"/>
      <c r="X36" s="1313"/>
      <c r="Y36" s="1313"/>
      <c r="Z36" s="1310">
        <f>ROUND(SUM(B36:X36),0)</f>
        <v>59521628</v>
      </c>
    </row>
    <row r="37" spans="1:28" ht="22.5" customHeight="1">
      <c r="A37" s="506" t="s">
        <v>155</v>
      </c>
      <c r="B37" s="1553">
        <f>ROUND(SUM(B20:B36),0)</f>
        <v>13114679</v>
      </c>
      <c r="C37" s="1314"/>
      <c r="D37" s="1553">
        <f>ROUND(SUM(D20:D36),0)</f>
        <v>43677848</v>
      </c>
      <c r="E37" s="1313"/>
      <c r="F37" s="1553">
        <f>ROUND(SUM(F20:F36),0)</f>
        <v>25537234</v>
      </c>
      <c r="G37" s="1313"/>
      <c r="H37" s="1553">
        <f>ROUND(SUM(H20:H36),0)</f>
        <v>9454051</v>
      </c>
      <c r="I37" s="1313"/>
      <c r="J37" s="1553">
        <f>ROUND(SUM(J20:J36),0)</f>
        <v>18440941</v>
      </c>
      <c r="K37" s="1313"/>
      <c r="L37" s="1553">
        <f>ROUND(SUM(L20:L36),0)</f>
        <v>17198676</v>
      </c>
      <c r="M37" s="1315"/>
      <c r="N37" s="1553">
        <f>ROUND(SUM(N20:N36),0)</f>
        <v>8631404</v>
      </c>
      <c r="O37" s="1313"/>
      <c r="P37" s="1553">
        <f>ROUND(SUM(P20:P36),0)</f>
        <v>21325207</v>
      </c>
      <c r="Q37" s="1313"/>
      <c r="R37" s="1553">
        <f>ROUND(SUM(R20:R36),0)</f>
        <v>41863750</v>
      </c>
      <c r="S37" s="1313"/>
      <c r="T37" s="1553">
        <f>ROUND(SUM(T20:T36),0)</f>
        <v>9712060</v>
      </c>
      <c r="U37" s="1313"/>
      <c r="V37" s="1553">
        <f>ROUND(SUM(V20:V36),0)</f>
        <v>0</v>
      </c>
      <c r="W37" s="1313"/>
      <c r="X37" s="1553">
        <f>ROUND(SUM(X20:X36),0)</f>
        <v>0</v>
      </c>
      <c r="Y37" s="1313"/>
      <c r="Z37" s="1553">
        <f>ROUND(SUM(Z20:Z36),0)</f>
        <v>208955850</v>
      </c>
    </row>
    <row r="38" spans="1:28" ht="15" customHeight="1">
      <c r="A38" s="506"/>
      <c r="B38" s="1313"/>
      <c r="C38" s="1314"/>
      <c r="D38" s="1313"/>
      <c r="E38" s="1313"/>
      <c r="F38" s="1319"/>
      <c r="G38" s="1313"/>
      <c r="H38" s="1319"/>
      <c r="I38" s="1313"/>
      <c r="J38" s="1313"/>
      <c r="K38" s="1313"/>
      <c r="L38" s="1318"/>
      <c r="M38" s="1315"/>
      <c r="N38" s="1318"/>
      <c r="O38" s="1313"/>
      <c r="P38" s="1317"/>
      <c r="Q38" s="1313"/>
      <c r="R38" s="1319"/>
      <c r="S38" s="1313"/>
      <c r="T38" s="1319"/>
      <c r="U38" s="1313"/>
      <c r="V38" s="1314"/>
      <c r="W38" s="1313"/>
      <c r="X38" s="1319"/>
      <c r="Y38" s="1313"/>
      <c r="Z38" s="1310"/>
    </row>
    <row r="39" spans="1:28" ht="15" customHeight="1">
      <c r="A39" s="507" t="s">
        <v>481</v>
      </c>
      <c r="B39" s="1319"/>
      <c r="C39" s="1320"/>
      <c r="D39" s="1319"/>
      <c r="E39" s="1313"/>
      <c r="F39" s="1318"/>
      <c r="G39" s="1313"/>
      <c r="H39" s="1319"/>
      <c r="I39" s="1313"/>
      <c r="J39" s="1319"/>
      <c r="K39" s="1313"/>
      <c r="L39" s="1319"/>
      <c r="M39" s="1315"/>
      <c r="N39" s="1319"/>
      <c r="O39" s="1313"/>
      <c r="P39" s="1317"/>
      <c r="Q39" s="1313"/>
      <c r="R39" s="1319"/>
      <c r="S39" s="1313"/>
      <c r="T39" s="1319"/>
      <c r="U39" s="1313"/>
      <c r="V39" s="1318"/>
      <c r="W39" s="1313"/>
      <c r="X39" s="1318"/>
      <c r="Y39" s="1313"/>
      <c r="Z39" s="1310"/>
    </row>
    <row r="40" spans="1:28" ht="15" customHeight="1">
      <c r="A40" s="808" t="s">
        <v>483</v>
      </c>
      <c r="B40" s="1313">
        <v>0</v>
      </c>
      <c r="C40" s="1320"/>
      <c r="D40" s="1313">
        <v>0</v>
      </c>
      <c r="E40" s="1313"/>
      <c r="F40" s="1313">
        <v>0</v>
      </c>
      <c r="G40" s="1313"/>
      <c r="H40" s="1313">
        <v>0</v>
      </c>
      <c r="I40" s="1313"/>
      <c r="J40" s="1313">
        <v>0</v>
      </c>
      <c r="K40" s="1313"/>
      <c r="L40" s="1313">
        <v>0</v>
      </c>
      <c r="M40" s="1315"/>
      <c r="N40" s="1313">
        <v>0</v>
      </c>
      <c r="O40" s="1313"/>
      <c r="P40" s="1313">
        <v>0</v>
      </c>
      <c r="Q40" s="1313"/>
      <c r="R40" s="1313">
        <v>0</v>
      </c>
      <c r="S40" s="1313"/>
      <c r="T40" s="1313">
        <v>0</v>
      </c>
      <c r="U40" s="1313"/>
      <c r="V40" s="1313"/>
      <c r="W40" s="1313"/>
      <c r="X40" s="1313"/>
      <c r="Y40" s="1313"/>
      <c r="Z40" s="1310">
        <f>ROUND(SUM(B40:X40),0)</f>
        <v>0</v>
      </c>
    </row>
    <row r="41" spans="1:28" ht="22.5" customHeight="1">
      <c r="A41" s="501" t="s">
        <v>487</v>
      </c>
      <c r="B41" s="1552">
        <f>ROUND(SUM(B40:B40),0)</f>
        <v>0</v>
      </c>
      <c r="C41" s="1311"/>
      <c r="D41" s="1552">
        <f>ROUND(SUM(D40:D40),0)</f>
        <v>0</v>
      </c>
      <c r="E41" s="1308"/>
      <c r="F41" s="1552">
        <f>ROUND(SUM(F40:F40),0)</f>
        <v>0</v>
      </c>
      <c r="G41" s="1308"/>
      <c r="H41" s="1552">
        <f>ROUND(SUM(H40:H40),0)</f>
        <v>0</v>
      </c>
      <c r="I41" s="1308"/>
      <c r="J41" s="1552">
        <f>ROUND(SUM(J40:J40),0)</f>
        <v>0</v>
      </c>
      <c r="K41" s="1308"/>
      <c r="L41" s="1552">
        <f>ROUND(SUM(L40:L40),0)</f>
        <v>0</v>
      </c>
      <c r="M41" s="1305"/>
      <c r="N41" s="1552">
        <f>ROUND(SUM(N40:N40),0)</f>
        <v>0</v>
      </c>
      <c r="O41" s="1308"/>
      <c r="P41" s="1552">
        <f>ROUND(SUM(P40:P40),0)</f>
        <v>0</v>
      </c>
      <c r="Q41" s="1308"/>
      <c r="R41" s="1552">
        <f>ROUND(SUM(R40:R40),0)</f>
        <v>0</v>
      </c>
      <c r="S41" s="1308"/>
      <c r="T41" s="1552">
        <f>ROUND(SUM(T40:T40),0)</f>
        <v>0</v>
      </c>
      <c r="U41" s="1308"/>
      <c r="V41" s="1552">
        <f>ROUND(SUM(V40:V40),0)</f>
        <v>0</v>
      </c>
      <c r="W41" s="1308"/>
      <c r="X41" s="1552">
        <f>ROUND(SUM(X40:X40),0)</f>
        <v>0</v>
      </c>
      <c r="Y41" s="1308"/>
      <c r="Z41" s="1552">
        <f>ROUND(SUM(Z40:Z40),0)</f>
        <v>0</v>
      </c>
    </row>
    <row r="42" spans="1:28" ht="15" customHeight="1">
      <c r="B42" s="1550"/>
      <c r="C42" s="1311"/>
      <c r="D42" s="1550"/>
      <c r="E42" s="1308"/>
      <c r="F42" s="1549"/>
      <c r="G42" s="1308"/>
      <c r="H42" s="1550"/>
      <c r="I42" s="1308"/>
      <c r="J42" s="1550"/>
      <c r="K42" s="1308"/>
      <c r="L42" s="1550"/>
      <c r="M42" s="1305"/>
      <c r="N42" s="1550"/>
      <c r="O42" s="1308"/>
      <c r="P42" s="1551"/>
      <c r="Q42" s="1308"/>
      <c r="R42" s="1550"/>
      <c r="S42" s="1308"/>
      <c r="T42" s="1550"/>
      <c r="U42" s="1308"/>
      <c r="V42" s="1549"/>
      <c r="W42" s="1308"/>
      <c r="X42" s="1321"/>
      <c r="Y42" s="1308"/>
      <c r="Z42" s="1548"/>
    </row>
    <row r="43" spans="1:28" s="500" customFormat="1" ht="20.25" customHeight="1">
      <c r="A43" s="501" t="s">
        <v>488</v>
      </c>
      <c r="B43" s="1322">
        <f>ROUND(B37+B41,0)</f>
        <v>13114679</v>
      </c>
      <c r="C43" s="502"/>
      <c r="D43" s="1322">
        <f>ROUND(D37+D41,0)</f>
        <v>43677848</v>
      </c>
      <c r="E43" s="503"/>
      <c r="F43" s="1322">
        <f>ROUND(F37+F41,0)</f>
        <v>25537234</v>
      </c>
      <c r="G43" s="503"/>
      <c r="H43" s="1322">
        <f>ROUND(H37+H41,0)</f>
        <v>9454051</v>
      </c>
      <c r="I43" s="503"/>
      <c r="J43" s="1322">
        <f>ROUND(J37+J41,0)</f>
        <v>18440941</v>
      </c>
      <c r="K43" s="502"/>
      <c r="L43" s="1322">
        <f>ROUND(L37+L41,0)</f>
        <v>17198676</v>
      </c>
      <c r="M43" s="499"/>
      <c r="N43" s="1322">
        <f>ROUND(N37+N41,0)</f>
        <v>8631404</v>
      </c>
      <c r="O43" s="503"/>
      <c r="P43" s="1322">
        <f>ROUND(P37+P41,0)</f>
        <v>21325207</v>
      </c>
      <c r="Q43" s="503"/>
      <c r="R43" s="1322">
        <f>ROUND(R37+R41,0)</f>
        <v>41863750</v>
      </c>
      <c r="S43" s="503"/>
      <c r="T43" s="1322">
        <f>ROUND(T37+T41,0)</f>
        <v>9712060</v>
      </c>
      <c r="U43" s="503"/>
      <c r="V43" s="1322">
        <f>ROUND(V37+V41,0)</f>
        <v>0</v>
      </c>
      <c r="W43" s="503"/>
      <c r="X43" s="1322">
        <f>ROUND(X37+X41,0)</f>
        <v>0</v>
      </c>
      <c r="Y43" s="503"/>
      <c r="Z43" s="1322">
        <f>ROUND(Z37+Z41,0)</f>
        <v>208955850</v>
      </c>
      <c r="AB43" s="405"/>
    </row>
    <row r="44" spans="1:28" ht="15" customHeight="1">
      <c r="A44" s="1304"/>
      <c r="B44" s="1306"/>
      <c r="C44" s="1306"/>
      <c r="D44" s="1306"/>
      <c r="E44" s="1305"/>
      <c r="F44" s="1306"/>
      <c r="G44" s="1305"/>
      <c r="H44" s="1306"/>
      <c r="I44" s="1305"/>
      <c r="J44" s="1547"/>
      <c r="K44" s="1306"/>
      <c r="L44" s="1547"/>
      <c r="M44" s="1305"/>
      <c r="N44" s="1547"/>
      <c r="O44" s="1305"/>
      <c r="P44" s="1547"/>
      <c r="Q44" s="1305"/>
      <c r="R44" s="1547"/>
      <c r="S44" s="1305"/>
      <c r="T44" s="1547"/>
      <c r="U44" s="1305"/>
      <c r="V44" s="1547"/>
      <c r="W44" s="1305"/>
      <c r="X44" s="1547"/>
      <c r="Y44" s="1305"/>
      <c r="Z44" s="1323"/>
    </row>
    <row r="45" spans="1:28" s="500" customFormat="1" ht="20.25" customHeight="1" thickBot="1">
      <c r="A45" s="507" t="s">
        <v>489</v>
      </c>
      <c r="B45" s="1546">
        <f>ROUND(B12+B17-B43,0)</f>
        <v>83609252</v>
      </c>
      <c r="C45" s="497"/>
      <c r="D45" s="1546">
        <f>ROUND(D12+D17-D43,0)</f>
        <v>39931404</v>
      </c>
      <c r="E45" s="1303"/>
      <c r="F45" s="1546">
        <f>ROUND(F12+F17-F43,0)</f>
        <v>84394170</v>
      </c>
      <c r="G45" s="1303"/>
      <c r="H45" s="3850">
        <f>ROUND(H12+H17-H43,0)</f>
        <v>74940119</v>
      </c>
      <c r="I45" s="3851"/>
      <c r="J45" s="3862">
        <f>ROUND(J12+J17-J43,0)</f>
        <v>56499178</v>
      </c>
      <c r="K45" s="3852"/>
      <c r="L45" s="3850">
        <f>ROUND(L12+L17-L43,0)</f>
        <v>39300502</v>
      </c>
      <c r="M45" s="3853"/>
      <c r="N45" s="3850">
        <f>ROUND(N12+N17-N43,0)</f>
        <v>95669098</v>
      </c>
      <c r="O45" s="3854"/>
      <c r="P45" s="3850">
        <f>ROUND(P12+P17-P43,0)</f>
        <v>74343891</v>
      </c>
      <c r="Q45" s="3854"/>
      <c r="R45" s="3850">
        <f>ROUND(R12+R17-R43,0)</f>
        <v>32480141</v>
      </c>
      <c r="S45" s="3854"/>
      <c r="T45" s="3850">
        <f>ROUND(T12+T17-T43,0)</f>
        <v>72768081</v>
      </c>
      <c r="U45" s="3854"/>
      <c r="V45" s="3850">
        <f>ROUND(V12+V17-V43,0)</f>
        <v>0</v>
      </c>
      <c r="W45" s="3854"/>
      <c r="X45" s="3850">
        <f>ROUND(X12+X17-X43,0)</f>
        <v>0</v>
      </c>
      <c r="Y45" s="3854"/>
      <c r="Z45" s="3862">
        <f>ROUND(Z12+Z17-Z43,0)</f>
        <v>72768081</v>
      </c>
    </row>
    <row r="46" spans="1:28" ht="15" customHeight="1" thickTop="1">
      <c r="A46" s="1304"/>
      <c r="B46" s="1301"/>
      <c r="C46" s="1301"/>
      <c r="D46" s="1301"/>
      <c r="E46" s="1324"/>
      <c r="F46" s="1301"/>
      <c r="G46" s="1324"/>
      <c r="H46" s="1301"/>
      <c r="I46" s="1324"/>
      <c r="J46" s="1301"/>
      <c r="K46" s="1301"/>
      <c r="L46" s="1301"/>
      <c r="M46" s="1324"/>
      <c r="N46" s="1301"/>
      <c r="O46" s="1324"/>
      <c r="P46" s="1301"/>
      <c r="Q46" s="1324"/>
      <c r="R46" s="1301"/>
      <c r="S46" s="1324"/>
      <c r="T46" s="1301"/>
      <c r="U46" s="1324"/>
      <c r="V46" s="1301"/>
      <c r="W46" s="1324"/>
      <c r="X46" s="1301"/>
      <c r="Y46" s="1324"/>
      <c r="Z46" s="1323"/>
    </row>
    <row r="47" spans="1:28" ht="20.100000000000001" customHeight="1">
      <c r="A47" s="510"/>
      <c r="B47" s="1325"/>
      <c r="C47" s="1325"/>
      <c r="D47" s="1325"/>
      <c r="E47" s="1302"/>
      <c r="F47" s="1325"/>
      <c r="G47" s="1302"/>
      <c r="H47" s="1325"/>
      <c r="I47" s="1302"/>
      <c r="J47" s="1325"/>
      <c r="K47" s="1325"/>
      <c r="L47" s="1325"/>
      <c r="M47" s="1302"/>
      <c r="N47" s="1325"/>
      <c r="O47" s="1302"/>
      <c r="P47" s="1325"/>
      <c r="Q47" s="1302"/>
      <c r="R47" s="1325"/>
      <c r="S47" s="1302"/>
      <c r="T47" s="1325"/>
      <c r="U47" s="1302"/>
      <c r="V47" s="1325"/>
      <c r="W47" s="1302"/>
      <c r="X47" s="1325"/>
      <c r="Y47" s="1302"/>
      <c r="Z47" s="1307"/>
    </row>
    <row r="48" spans="1:28">
      <c r="L48" s="1543" t="s">
        <v>14</v>
      </c>
    </row>
    <row r="49" spans="1:26" ht="18" customHeight="1">
      <c r="A49" s="1545" t="s">
        <v>1277</v>
      </c>
      <c r="B49" s="1297"/>
      <c r="C49" s="1297"/>
      <c r="D49" s="1297"/>
      <c r="E49" s="478"/>
      <c r="F49" s="1297"/>
      <c r="G49" s="478"/>
      <c r="H49" s="1297"/>
      <c r="I49" s="478"/>
      <c r="J49" s="1297"/>
      <c r="K49" s="1297"/>
      <c r="L49" s="1297"/>
      <c r="M49" s="1302"/>
      <c r="N49" s="1297" t="s">
        <v>14</v>
      </c>
      <c r="O49" s="478"/>
      <c r="P49" s="1297"/>
      <c r="Q49" s="478"/>
      <c r="R49" s="1297"/>
      <c r="S49" s="478"/>
      <c r="T49" s="1297"/>
      <c r="U49" s="478"/>
      <c r="V49" s="1297"/>
      <c r="W49" s="478"/>
      <c r="X49" s="1297"/>
      <c r="Y49" s="478"/>
      <c r="Z49" s="1298"/>
    </row>
    <row r="50" spans="1:26" ht="20.100000000000001" customHeight="1">
      <c r="A50" s="1544" t="s">
        <v>1206</v>
      </c>
      <c r="B50" s="1325"/>
      <c r="C50" s="1325"/>
      <c r="D50" s="1325"/>
      <c r="E50" s="1302"/>
      <c r="F50" s="1325"/>
      <c r="G50" s="1302"/>
      <c r="H50" s="1325"/>
      <c r="I50" s="1302"/>
      <c r="J50" s="1325"/>
      <c r="K50" s="1325"/>
      <c r="L50" s="1325"/>
      <c r="M50" s="1302"/>
      <c r="N50" s="1325" t="s">
        <v>14</v>
      </c>
      <c r="O50" s="1302"/>
      <c r="P50" s="1325"/>
      <c r="Q50" s="1302"/>
      <c r="R50" s="1325"/>
      <c r="S50" s="1302"/>
      <c r="T50" s="1325"/>
      <c r="U50" s="1302"/>
      <c r="V50" s="1325"/>
      <c r="W50" s="1302"/>
      <c r="X50" s="1325"/>
      <c r="Y50" s="1302"/>
      <c r="Z50" s="1307"/>
    </row>
    <row r="51" spans="1:26" ht="20.100000000000001" customHeight="1">
      <c r="A51" s="1544"/>
      <c r="B51" s="1325"/>
      <c r="C51" s="1325"/>
      <c r="D51" s="1325"/>
      <c r="E51" s="1302"/>
      <c r="F51" s="1325"/>
      <c r="G51" s="1302"/>
      <c r="H51" s="1325"/>
      <c r="I51" s="1302"/>
      <c r="J51" s="1325"/>
      <c r="K51" s="1325"/>
      <c r="L51" s="1325"/>
      <c r="M51" s="1302"/>
      <c r="N51" s="1325" t="s">
        <v>14</v>
      </c>
      <c r="O51" s="1302"/>
      <c r="P51" s="1325"/>
      <c r="Q51" s="1302"/>
      <c r="R51" s="1325"/>
      <c r="S51" s="1302"/>
      <c r="T51" s="1325"/>
      <c r="U51" s="1302"/>
      <c r="V51" s="1325"/>
      <c r="W51" s="1302"/>
      <c r="X51" s="1325"/>
      <c r="Y51" s="1302"/>
      <c r="Z51" s="1307"/>
    </row>
    <row r="52" spans="1:26" ht="20.100000000000001" customHeight="1">
      <c r="A52" s="1568"/>
      <c r="B52" s="477"/>
      <c r="C52" s="477"/>
      <c r="D52" s="477"/>
      <c r="E52" s="478"/>
      <c r="F52" s="477"/>
      <c r="G52" s="478"/>
      <c r="H52" s="477"/>
      <c r="I52" s="478"/>
      <c r="J52" s="477"/>
      <c r="K52" s="477"/>
      <c r="L52" s="477"/>
      <c r="M52" s="478"/>
      <c r="N52" s="477"/>
      <c r="O52" s="478"/>
      <c r="P52" s="477"/>
      <c r="Q52" s="478"/>
      <c r="R52" s="477"/>
      <c r="S52" s="478"/>
      <c r="T52" s="477"/>
      <c r="U52" s="478"/>
      <c r="V52" s="477"/>
      <c r="W52" s="478"/>
      <c r="X52" s="477"/>
      <c r="Y52" s="478"/>
      <c r="Z52" s="406"/>
    </row>
    <row r="53" spans="1:26" ht="20.100000000000001" customHeight="1">
      <c r="A53" s="475"/>
      <c r="B53" s="477"/>
      <c r="C53" s="477"/>
      <c r="D53" s="477"/>
      <c r="E53" s="478"/>
      <c r="F53" s="477"/>
      <c r="G53" s="478"/>
      <c r="H53" s="477"/>
      <c r="I53" s="478"/>
      <c r="J53" s="477"/>
      <c r="K53" s="477"/>
      <c r="L53" s="477"/>
      <c r="M53" s="478"/>
      <c r="N53" s="477"/>
      <c r="O53" s="478"/>
      <c r="P53" s="477"/>
      <c r="Q53" s="478"/>
      <c r="R53" s="477"/>
      <c r="S53" s="478"/>
      <c r="T53" s="477"/>
      <c r="U53" s="478"/>
      <c r="V53" s="477"/>
      <c r="W53" s="478"/>
      <c r="X53" s="477"/>
      <c r="Y53" s="478"/>
      <c r="Z53" s="406"/>
    </row>
    <row r="54" spans="1:26" ht="20.100000000000001" customHeight="1">
      <c r="A54" s="475"/>
      <c r="B54" s="477"/>
      <c r="C54" s="477"/>
      <c r="D54" s="477"/>
      <c r="E54" s="478"/>
      <c r="F54" s="477"/>
      <c r="G54" s="478"/>
      <c r="H54" s="477"/>
      <c r="I54" s="478"/>
      <c r="J54" s="477"/>
      <c r="K54" s="477"/>
      <c r="L54" s="477"/>
      <c r="M54" s="478"/>
      <c r="N54" s="477"/>
      <c r="O54" s="478"/>
      <c r="P54" s="477"/>
      <c r="Q54" s="478"/>
      <c r="R54" s="477"/>
      <c r="S54" s="478"/>
      <c r="T54" s="477"/>
      <c r="U54" s="478"/>
      <c r="V54" s="477"/>
      <c r="W54" s="478"/>
      <c r="X54" s="477"/>
      <c r="Y54" s="478"/>
      <c r="Z54" s="406"/>
    </row>
    <row r="55" spans="1:26" ht="20.100000000000001" customHeight="1">
      <c r="A55" s="475"/>
      <c r="B55" s="477"/>
      <c r="C55" s="477"/>
      <c r="D55" s="477"/>
      <c r="E55" s="478"/>
      <c r="F55" s="477"/>
      <c r="G55" s="478"/>
      <c r="H55" s="477"/>
      <c r="I55" s="478"/>
      <c r="J55" s="477"/>
      <c r="K55" s="477"/>
      <c r="L55" s="477"/>
      <c r="M55" s="478"/>
      <c r="N55" s="477"/>
      <c r="O55" s="478"/>
      <c r="P55" s="477"/>
      <c r="Q55" s="478"/>
      <c r="R55" s="477"/>
      <c r="S55" s="478"/>
      <c r="T55" s="477"/>
      <c r="U55" s="478"/>
      <c r="V55" s="477"/>
      <c r="W55" s="478"/>
      <c r="X55" s="477"/>
      <c r="Y55" s="478"/>
      <c r="Z55" s="406"/>
    </row>
    <row r="56" spans="1:26" ht="20.100000000000001" customHeight="1">
      <c r="A56" s="475"/>
      <c r="B56" s="477"/>
      <c r="C56" s="477"/>
      <c r="D56" s="477"/>
      <c r="E56" s="478"/>
      <c r="F56" s="477"/>
      <c r="G56" s="478"/>
      <c r="H56" s="477"/>
      <c r="I56" s="478"/>
      <c r="J56" s="477"/>
      <c r="K56" s="477"/>
      <c r="L56" s="477"/>
      <c r="M56" s="478"/>
      <c r="N56" s="477"/>
      <c r="O56" s="478"/>
      <c r="P56" s="477"/>
      <c r="Q56" s="478"/>
      <c r="R56" s="477"/>
      <c r="S56" s="478"/>
      <c r="T56" s="477"/>
      <c r="U56" s="478"/>
      <c r="V56" s="477"/>
      <c r="W56" s="478"/>
      <c r="X56" s="477"/>
      <c r="Y56" s="478"/>
      <c r="Z56" s="406"/>
    </row>
    <row r="57" spans="1:26">
      <c r="A57" s="475"/>
      <c r="B57" s="477"/>
      <c r="C57" s="477"/>
      <c r="D57" s="477"/>
      <c r="E57" s="478"/>
      <c r="F57" s="477"/>
      <c r="G57" s="478"/>
      <c r="H57" s="477"/>
      <c r="I57" s="478"/>
      <c r="J57" s="477"/>
      <c r="K57" s="477"/>
      <c r="L57" s="477"/>
      <c r="M57" s="478"/>
      <c r="N57" s="477"/>
      <c r="O57" s="478"/>
      <c r="P57" s="477"/>
      <c r="Q57" s="478"/>
      <c r="R57" s="477"/>
      <c r="S57" s="478"/>
      <c r="T57" s="477"/>
      <c r="U57" s="478"/>
      <c r="V57" s="477"/>
      <c r="W57" s="478"/>
      <c r="X57" s="477"/>
      <c r="Y57" s="478"/>
      <c r="Z57" s="406"/>
    </row>
    <row r="58" spans="1:26">
      <c r="A58" s="475"/>
      <c r="B58" s="477"/>
      <c r="C58" s="477"/>
      <c r="D58" s="477"/>
      <c r="E58" s="478"/>
      <c r="F58" s="477"/>
      <c r="G58" s="478"/>
      <c r="H58" s="477"/>
      <c r="I58" s="478"/>
      <c r="J58" s="477"/>
      <c r="K58" s="477"/>
      <c r="L58" s="477"/>
      <c r="M58" s="478"/>
      <c r="N58" s="477"/>
      <c r="O58" s="478"/>
      <c r="P58" s="477"/>
      <c r="Q58" s="478"/>
      <c r="R58" s="477"/>
      <c r="S58" s="478"/>
      <c r="T58" s="477"/>
      <c r="U58" s="478"/>
      <c r="V58" s="477"/>
      <c r="W58" s="478"/>
      <c r="X58" s="477"/>
      <c r="Y58" s="478"/>
      <c r="Z58" s="406"/>
    </row>
    <row r="59" spans="1:26">
      <c r="A59" s="475"/>
      <c r="B59" s="477"/>
      <c r="C59" s="477"/>
      <c r="D59" s="477"/>
      <c r="E59" s="478"/>
      <c r="F59" s="477"/>
      <c r="G59" s="478"/>
      <c r="H59" s="477"/>
      <c r="I59" s="478"/>
      <c r="J59" s="477"/>
      <c r="K59" s="477"/>
      <c r="L59" s="477"/>
      <c r="M59" s="478"/>
      <c r="N59" s="477"/>
      <c r="O59" s="478"/>
      <c r="P59" s="477"/>
      <c r="Q59" s="478"/>
      <c r="R59" s="477"/>
      <c r="S59" s="478"/>
      <c r="T59" s="477"/>
      <c r="U59" s="478"/>
      <c r="V59" s="477"/>
      <c r="W59" s="478"/>
      <c r="X59" s="477"/>
      <c r="Y59" s="478"/>
      <c r="Z59" s="406"/>
    </row>
    <row r="60" spans="1:26">
      <c r="A60" s="475"/>
      <c r="B60" s="477"/>
      <c r="C60" s="477"/>
      <c r="D60" s="477"/>
      <c r="E60" s="478"/>
      <c r="F60" s="477"/>
      <c r="G60" s="478"/>
      <c r="H60" s="477"/>
      <c r="I60" s="478"/>
      <c r="J60" s="477"/>
      <c r="K60" s="477"/>
      <c r="L60" s="477"/>
      <c r="M60" s="478"/>
      <c r="N60" s="477"/>
      <c r="O60" s="478"/>
      <c r="P60" s="477"/>
      <c r="Q60" s="478"/>
      <c r="R60" s="477"/>
      <c r="S60" s="478"/>
      <c r="T60" s="477"/>
      <c r="U60" s="478"/>
      <c r="V60" s="477"/>
      <c r="W60" s="478"/>
      <c r="X60" s="477"/>
      <c r="Y60" s="478"/>
      <c r="Z60" s="406"/>
    </row>
    <row r="61" spans="1:26">
      <c r="A61" s="475"/>
      <c r="B61" s="477"/>
      <c r="C61" s="477"/>
      <c r="D61" s="477"/>
      <c r="E61" s="478"/>
      <c r="F61" s="477"/>
      <c r="G61" s="478"/>
      <c r="H61" s="477"/>
      <c r="I61" s="478"/>
      <c r="J61" s="477"/>
      <c r="K61" s="477"/>
      <c r="L61" s="477"/>
      <c r="M61" s="478"/>
      <c r="N61" s="477"/>
      <c r="O61" s="478"/>
      <c r="P61" s="477"/>
      <c r="Q61" s="478"/>
      <c r="R61" s="477"/>
      <c r="S61" s="478"/>
      <c r="T61" s="477"/>
      <c r="U61" s="478"/>
      <c r="V61" s="477"/>
      <c r="W61" s="478"/>
      <c r="X61" s="477"/>
      <c r="Y61" s="478"/>
      <c r="Z61" s="406"/>
    </row>
    <row r="62" spans="1:26">
      <c r="A62" s="475"/>
      <c r="B62" s="477"/>
      <c r="C62" s="477"/>
      <c r="D62" s="477"/>
      <c r="E62" s="478"/>
      <c r="F62" s="477"/>
      <c r="G62" s="478"/>
      <c r="H62" s="477"/>
      <c r="I62" s="478"/>
      <c r="J62" s="477"/>
      <c r="K62" s="477"/>
      <c r="L62" s="477"/>
      <c r="M62" s="478"/>
      <c r="N62" s="477"/>
      <c r="O62" s="478"/>
      <c r="P62" s="477"/>
      <c r="Q62" s="478"/>
      <c r="R62" s="477"/>
      <c r="S62" s="478"/>
      <c r="T62" s="477"/>
      <c r="U62" s="478"/>
      <c r="V62" s="477"/>
      <c r="W62" s="478"/>
      <c r="X62" s="477"/>
      <c r="Y62" s="478"/>
      <c r="Z62" s="406"/>
    </row>
    <row r="63" spans="1:26">
      <c r="A63" s="475"/>
      <c r="B63" s="477"/>
      <c r="C63" s="477"/>
      <c r="D63" s="477"/>
      <c r="E63" s="478"/>
      <c r="F63" s="477"/>
      <c r="G63" s="478"/>
      <c r="H63" s="477"/>
      <c r="I63" s="478"/>
      <c r="J63" s="477"/>
      <c r="K63" s="477"/>
      <c r="L63" s="477"/>
      <c r="M63" s="478"/>
      <c r="N63" s="477"/>
      <c r="O63" s="478"/>
      <c r="P63" s="477"/>
      <c r="Q63" s="478"/>
      <c r="R63" s="477"/>
      <c r="S63" s="478"/>
      <c r="T63" s="477"/>
      <c r="U63" s="478"/>
      <c r="V63" s="477"/>
      <c r="W63" s="478"/>
      <c r="X63" s="477"/>
      <c r="Y63" s="478"/>
      <c r="Z63" s="406"/>
    </row>
    <row r="64" spans="1:26">
      <c r="A64" s="475"/>
      <c r="B64" s="477"/>
      <c r="C64" s="477"/>
      <c r="D64" s="477"/>
      <c r="E64" s="478"/>
      <c r="F64" s="477"/>
      <c r="G64" s="478"/>
      <c r="H64" s="477"/>
      <c r="I64" s="478"/>
      <c r="J64" s="477"/>
      <c r="K64" s="477"/>
      <c r="L64" s="477"/>
      <c r="M64" s="478"/>
      <c r="N64" s="477"/>
      <c r="O64" s="478"/>
      <c r="P64" s="477"/>
      <c r="Q64" s="478"/>
      <c r="R64" s="477"/>
      <c r="S64" s="478"/>
      <c r="T64" s="477"/>
      <c r="U64" s="478"/>
      <c r="V64" s="477"/>
      <c r="W64" s="478"/>
      <c r="X64" s="477"/>
      <c r="Y64" s="478"/>
      <c r="Z64" s="406"/>
    </row>
    <row r="65" spans="1:26">
      <c r="A65" s="475"/>
      <c r="B65" s="477"/>
      <c r="C65" s="477"/>
      <c r="D65" s="477"/>
      <c r="E65" s="478"/>
      <c r="F65" s="477"/>
      <c r="G65" s="478"/>
      <c r="H65" s="477"/>
      <c r="I65" s="478"/>
      <c r="J65" s="477"/>
      <c r="K65" s="477"/>
      <c r="L65" s="477"/>
      <c r="M65" s="478"/>
      <c r="N65" s="477"/>
      <c r="O65" s="478"/>
      <c r="P65" s="477"/>
      <c r="Q65" s="478"/>
      <c r="R65" s="477"/>
      <c r="S65" s="478"/>
      <c r="T65" s="477"/>
      <c r="U65" s="478"/>
      <c r="V65" s="477"/>
      <c r="W65" s="478"/>
      <c r="X65" s="477"/>
      <c r="Y65" s="478"/>
      <c r="Z65" s="406"/>
    </row>
    <row r="66" spans="1:26">
      <c r="A66" s="475"/>
      <c r="B66" s="477"/>
      <c r="C66" s="477"/>
      <c r="D66" s="477"/>
      <c r="E66" s="478"/>
      <c r="F66" s="477"/>
      <c r="G66" s="478"/>
      <c r="H66" s="477"/>
      <c r="I66" s="478"/>
      <c r="J66" s="477"/>
      <c r="K66" s="477"/>
      <c r="L66" s="477"/>
      <c r="M66" s="478"/>
      <c r="N66" s="477"/>
      <c r="O66" s="478"/>
      <c r="P66" s="477"/>
      <c r="Q66" s="478"/>
      <c r="R66" s="477"/>
      <c r="S66" s="478"/>
      <c r="T66" s="477"/>
      <c r="U66" s="478"/>
      <c r="V66" s="477"/>
      <c r="W66" s="478"/>
      <c r="X66" s="477"/>
      <c r="Y66" s="478"/>
      <c r="Z66" s="406"/>
    </row>
    <row r="67" spans="1:26">
      <c r="A67" s="475"/>
      <c r="B67" s="477"/>
      <c r="C67" s="477"/>
      <c r="D67" s="477"/>
      <c r="E67" s="478"/>
      <c r="F67" s="477"/>
      <c r="G67" s="478"/>
      <c r="H67" s="477"/>
      <c r="I67" s="478"/>
      <c r="J67" s="477"/>
      <c r="K67" s="477"/>
      <c r="L67" s="477"/>
      <c r="M67" s="478"/>
      <c r="N67" s="477"/>
      <c r="O67" s="478"/>
      <c r="P67" s="477"/>
      <c r="Q67" s="478"/>
      <c r="R67" s="477"/>
      <c r="S67" s="478"/>
      <c r="T67" s="477"/>
      <c r="U67" s="478"/>
      <c r="V67" s="477"/>
      <c r="W67" s="478"/>
      <c r="X67" s="477"/>
      <c r="Y67" s="478"/>
      <c r="Z67" s="406"/>
    </row>
    <row r="68" spans="1:26">
      <c r="A68" s="475"/>
      <c r="B68" s="477"/>
      <c r="C68" s="477"/>
      <c r="D68" s="477"/>
      <c r="E68" s="478"/>
      <c r="F68" s="477"/>
      <c r="G68" s="478"/>
      <c r="H68" s="477"/>
      <c r="I68" s="478"/>
      <c r="J68" s="477"/>
      <c r="K68" s="477"/>
      <c r="L68" s="477"/>
      <c r="M68" s="478"/>
      <c r="N68" s="477"/>
      <c r="O68" s="478"/>
      <c r="P68" s="477"/>
      <c r="Q68" s="478"/>
      <c r="R68" s="477"/>
      <c r="S68" s="478"/>
      <c r="T68" s="477"/>
      <c r="U68" s="478"/>
      <c r="V68" s="477"/>
      <c r="W68" s="478"/>
      <c r="X68" s="477"/>
      <c r="Y68" s="478"/>
      <c r="Z68" s="406"/>
    </row>
    <row r="69" spans="1:26">
      <c r="A69" s="475"/>
      <c r="B69" s="477"/>
      <c r="C69" s="477"/>
      <c r="D69" s="477"/>
      <c r="E69" s="478"/>
      <c r="F69" s="477"/>
      <c r="G69" s="478"/>
      <c r="H69" s="477"/>
      <c r="I69" s="478"/>
      <c r="J69" s="477"/>
      <c r="K69" s="477"/>
      <c r="L69" s="477"/>
      <c r="M69" s="478"/>
      <c r="N69" s="477"/>
      <c r="O69" s="478"/>
      <c r="P69" s="477"/>
      <c r="Q69" s="478"/>
      <c r="R69" s="477"/>
      <c r="S69" s="478"/>
      <c r="T69" s="477"/>
      <c r="U69" s="478"/>
      <c r="V69" s="477"/>
      <c r="W69" s="478"/>
      <c r="X69" s="477"/>
      <c r="Y69" s="478"/>
      <c r="Z69" s="406"/>
    </row>
    <row r="70" spans="1:26">
      <c r="A70" s="475"/>
      <c r="B70" s="477"/>
      <c r="C70" s="477"/>
      <c r="D70" s="477"/>
      <c r="E70" s="478"/>
      <c r="F70" s="477"/>
      <c r="G70" s="478"/>
      <c r="H70" s="477"/>
      <c r="I70" s="478"/>
      <c r="J70" s="477"/>
      <c r="K70" s="477"/>
      <c r="L70" s="477"/>
      <c r="M70" s="478"/>
      <c r="N70" s="477"/>
      <c r="O70" s="478"/>
      <c r="P70" s="477"/>
      <c r="Q70" s="478"/>
      <c r="R70" s="477"/>
      <c r="S70" s="478"/>
      <c r="T70" s="477"/>
      <c r="U70" s="478"/>
      <c r="V70" s="477"/>
      <c r="W70" s="478"/>
      <c r="X70" s="477"/>
      <c r="Y70" s="478"/>
      <c r="Z70" s="406"/>
    </row>
    <row r="71" spans="1:26">
      <c r="A71" s="475"/>
      <c r="B71" s="477"/>
      <c r="C71" s="477"/>
      <c r="D71" s="477"/>
      <c r="E71" s="478"/>
      <c r="F71" s="477"/>
      <c r="G71" s="478"/>
      <c r="H71" s="477"/>
      <c r="I71" s="478"/>
      <c r="J71" s="477"/>
      <c r="K71" s="477"/>
      <c r="L71" s="477"/>
      <c r="M71" s="478"/>
      <c r="N71" s="477"/>
      <c r="O71" s="478"/>
      <c r="P71" s="477"/>
      <c r="Q71" s="478"/>
      <c r="R71" s="477"/>
      <c r="S71" s="478"/>
      <c r="T71" s="477"/>
      <c r="U71" s="478"/>
      <c r="V71" s="477"/>
      <c r="W71" s="478"/>
      <c r="X71" s="477"/>
      <c r="Y71" s="478"/>
      <c r="Z71" s="406"/>
    </row>
    <row r="72" spans="1:26">
      <c r="A72" s="475"/>
      <c r="B72" s="477"/>
      <c r="C72" s="477"/>
      <c r="D72" s="477"/>
      <c r="E72" s="478"/>
      <c r="F72" s="477"/>
      <c r="G72" s="478"/>
      <c r="H72" s="477"/>
      <c r="I72" s="478"/>
      <c r="J72" s="477"/>
      <c r="K72" s="477"/>
      <c r="L72" s="477"/>
      <c r="M72" s="478"/>
      <c r="N72" s="477"/>
      <c r="O72" s="478"/>
      <c r="P72" s="477"/>
      <c r="Q72" s="478"/>
      <c r="R72" s="477"/>
      <c r="S72" s="478"/>
      <c r="T72" s="477"/>
      <c r="U72" s="478"/>
      <c r="V72" s="477"/>
      <c r="W72" s="478"/>
      <c r="X72" s="477"/>
      <c r="Y72" s="478"/>
      <c r="Z72" s="406"/>
    </row>
    <row r="73" spans="1:26">
      <c r="A73" s="475"/>
      <c r="B73" s="477"/>
      <c r="C73" s="477"/>
      <c r="D73" s="477"/>
      <c r="E73" s="478"/>
      <c r="F73" s="477"/>
      <c r="G73" s="478"/>
      <c r="H73" s="477"/>
      <c r="I73" s="478"/>
      <c r="J73" s="477"/>
      <c r="K73" s="477"/>
      <c r="L73" s="477"/>
      <c r="M73" s="478"/>
      <c r="N73" s="477"/>
      <c r="O73" s="478"/>
      <c r="P73" s="477"/>
      <c r="Q73" s="478"/>
      <c r="R73" s="477"/>
      <c r="S73" s="478"/>
      <c r="T73" s="477"/>
      <c r="U73" s="478"/>
      <c r="V73" s="477"/>
      <c r="W73" s="478"/>
      <c r="X73" s="477"/>
      <c r="Y73" s="478"/>
      <c r="Z73" s="406"/>
    </row>
    <row r="74" spans="1:26">
      <c r="A74" s="475"/>
      <c r="B74" s="477"/>
      <c r="C74" s="477"/>
      <c r="D74" s="477"/>
      <c r="E74" s="478"/>
      <c r="F74" s="477"/>
      <c r="G74" s="478"/>
      <c r="H74" s="477"/>
      <c r="I74" s="478"/>
      <c r="J74" s="477"/>
      <c r="K74" s="477"/>
      <c r="L74" s="477"/>
      <c r="M74" s="478"/>
      <c r="N74" s="477"/>
      <c r="O74" s="478"/>
      <c r="P74" s="477"/>
      <c r="Q74" s="478"/>
      <c r="R74" s="477"/>
      <c r="S74" s="478"/>
      <c r="T74" s="477"/>
      <c r="U74" s="478"/>
      <c r="V74" s="477"/>
      <c r="W74" s="478"/>
      <c r="X74" s="477"/>
      <c r="Y74" s="478"/>
      <c r="Z74" s="406"/>
    </row>
    <row r="75" spans="1:26">
      <c r="A75" s="475"/>
      <c r="B75" s="477"/>
      <c r="C75" s="477"/>
      <c r="D75" s="477"/>
      <c r="E75" s="478"/>
      <c r="F75" s="477"/>
      <c r="G75" s="478"/>
      <c r="H75" s="477"/>
      <c r="I75" s="478"/>
      <c r="J75" s="477"/>
      <c r="K75" s="477"/>
      <c r="L75" s="477"/>
      <c r="M75" s="478"/>
      <c r="N75" s="477"/>
      <c r="O75" s="478"/>
      <c r="P75" s="477"/>
      <c r="Q75" s="478"/>
      <c r="R75" s="477"/>
      <c r="S75" s="478"/>
      <c r="T75" s="477"/>
      <c r="U75" s="478"/>
      <c r="V75" s="477"/>
      <c r="W75" s="478"/>
      <c r="X75" s="477"/>
      <c r="Y75" s="478"/>
      <c r="Z75" s="406"/>
    </row>
    <row r="76" spans="1:26">
      <c r="A76" s="475"/>
      <c r="B76" s="477"/>
      <c r="C76" s="477"/>
      <c r="D76" s="477"/>
      <c r="E76" s="478"/>
      <c r="F76" s="477"/>
      <c r="G76" s="478"/>
      <c r="H76" s="477"/>
      <c r="I76" s="478"/>
      <c r="J76" s="477"/>
      <c r="K76" s="477"/>
      <c r="L76" s="477"/>
      <c r="M76" s="478"/>
      <c r="N76" s="477"/>
      <c r="O76" s="478"/>
      <c r="P76" s="477"/>
      <c r="Q76" s="478"/>
      <c r="R76" s="477"/>
      <c r="S76" s="478"/>
      <c r="T76" s="477"/>
      <c r="U76" s="478"/>
      <c r="V76" s="477"/>
      <c r="W76" s="478"/>
      <c r="X76" s="477"/>
      <c r="Y76" s="478"/>
      <c r="Z76" s="406"/>
    </row>
    <row r="77" spans="1:26">
      <c r="A77" s="475"/>
      <c r="B77" s="477"/>
      <c r="C77" s="477"/>
      <c r="D77" s="477"/>
      <c r="E77" s="478"/>
      <c r="F77" s="477"/>
      <c r="G77" s="478"/>
      <c r="H77" s="477"/>
      <c r="I77" s="478"/>
      <c r="J77" s="477"/>
      <c r="K77" s="477"/>
      <c r="L77" s="477"/>
      <c r="M77" s="478"/>
      <c r="N77" s="477"/>
      <c r="O77" s="478"/>
      <c r="P77" s="477"/>
      <c r="Q77" s="478"/>
      <c r="R77" s="477"/>
      <c r="S77" s="478"/>
      <c r="T77" s="477"/>
      <c r="U77" s="478"/>
      <c r="V77" s="477"/>
      <c r="W77" s="478"/>
      <c r="X77" s="477"/>
      <c r="Y77" s="478"/>
      <c r="Z77" s="406"/>
    </row>
    <row r="78" spans="1:26">
      <c r="A78" s="475"/>
      <c r="B78" s="477"/>
      <c r="C78" s="477"/>
      <c r="D78" s="477"/>
      <c r="E78" s="478"/>
      <c r="F78" s="477"/>
      <c r="G78" s="478"/>
      <c r="H78" s="477"/>
      <c r="I78" s="478"/>
      <c r="J78" s="477"/>
      <c r="K78" s="477"/>
      <c r="L78" s="477"/>
      <c r="M78" s="478"/>
      <c r="N78" s="477"/>
      <c r="O78" s="478"/>
      <c r="P78" s="477"/>
      <c r="Q78" s="478"/>
      <c r="R78" s="477"/>
      <c r="S78" s="478"/>
      <c r="T78" s="477"/>
      <c r="U78" s="478"/>
      <c r="V78" s="477"/>
      <c r="W78" s="478"/>
      <c r="X78" s="477"/>
      <c r="Y78" s="478"/>
      <c r="Z78" s="406"/>
    </row>
    <row r="79" spans="1:26">
      <c r="A79" s="475"/>
      <c r="B79" s="477"/>
      <c r="C79" s="477"/>
      <c r="D79" s="477"/>
      <c r="E79" s="478"/>
      <c r="F79" s="477"/>
      <c r="G79" s="478"/>
      <c r="H79" s="477"/>
      <c r="I79" s="478"/>
      <c r="J79" s="477"/>
      <c r="K79" s="477"/>
      <c r="L79" s="477"/>
      <c r="M79" s="478"/>
      <c r="N79" s="477"/>
      <c r="O79" s="478"/>
      <c r="P79" s="477"/>
      <c r="Q79" s="478"/>
      <c r="R79" s="477"/>
      <c r="S79" s="478"/>
      <c r="T79" s="477"/>
      <c r="U79" s="478"/>
      <c r="V79" s="477"/>
      <c r="W79" s="478"/>
      <c r="X79" s="477"/>
      <c r="Y79" s="478"/>
      <c r="Z79" s="406"/>
    </row>
    <row r="80" spans="1:26">
      <c r="A80" s="475"/>
      <c r="B80" s="477"/>
      <c r="C80" s="477"/>
      <c r="D80" s="477"/>
      <c r="E80" s="478"/>
      <c r="F80" s="477"/>
      <c r="G80" s="478"/>
      <c r="H80" s="477"/>
      <c r="I80" s="478"/>
      <c r="J80" s="477"/>
      <c r="K80" s="477"/>
      <c r="L80" s="477"/>
      <c r="M80" s="478"/>
      <c r="N80" s="477"/>
      <c r="O80" s="478"/>
      <c r="P80" s="477"/>
      <c r="Q80" s="478"/>
      <c r="R80" s="477"/>
      <c r="S80" s="478"/>
      <c r="T80" s="477"/>
      <c r="U80" s="478"/>
      <c r="V80" s="477"/>
      <c r="W80" s="478"/>
      <c r="X80" s="477"/>
      <c r="Y80" s="478"/>
      <c r="Z80" s="406"/>
    </row>
    <row r="81" spans="1:26">
      <c r="A81" s="475"/>
      <c r="B81" s="477"/>
      <c r="C81" s="477"/>
      <c r="D81" s="477"/>
      <c r="E81" s="478"/>
      <c r="F81" s="477"/>
      <c r="G81" s="478"/>
      <c r="H81" s="477"/>
      <c r="I81" s="478"/>
      <c r="J81" s="477"/>
      <c r="K81" s="477"/>
      <c r="L81" s="477"/>
      <c r="M81" s="478"/>
      <c r="N81" s="477"/>
      <c r="O81" s="478"/>
      <c r="P81" s="477"/>
      <c r="Q81" s="478"/>
      <c r="R81" s="477"/>
      <c r="S81" s="478"/>
      <c r="T81" s="477"/>
      <c r="U81" s="478"/>
      <c r="V81" s="477"/>
      <c r="W81" s="478"/>
      <c r="X81" s="477"/>
      <c r="Y81" s="478"/>
      <c r="Z81" s="406"/>
    </row>
    <row r="82" spans="1:26">
      <c r="A82" s="475"/>
      <c r="B82" s="477"/>
      <c r="C82" s="477"/>
      <c r="D82" s="477"/>
      <c r="E82" s="478"/>
      <c r="F82" s="477"/>
      <c r="G82" s="478"/>
      <c r="H82" s="477"/>
      <c r="I82" s="478"/>
      <c r="J82" s="477"/>
      <c r="K82" s="477"/>
      <c r="L82" s="477"/>
      <c r="M82" s="478"/>
      <c r="N82" s="477"/>
      <c r="O82" s="478"/>
      <c r="P82" s="477"/>
      <c r="Q82" s="478"/>
      <c r="R82" s="477"/>
      <c r="S82" s="478"/>
      <c r="T82" s="477"/>
      <c r="U82" s="478"/>
      <c r="V82" s="477"/>
      <c r="W82" s="478"/>
      <c r="X82" s="477"/>
      <c r="Y82" s="478"/>
      <c r="Z82" s="406"/>
    </row>
    <row r="83" spans="1:26">
      <c r="A83" s="475"/>
      <c r="B83" s="477"/>
      <c r="C83" s="477"/>
      <c r="D83" s="477"/>
      <c r="E83" s="478"/>
      <c r="F83" s="477"/>
      <c r="G83" s="478"/>
      <c r="H83" s="477"/>
      <c r="I83" s="478"/>
      <c r="J83" s="477"/>
      <c r="K83" s="477"/>
      <c r="L83" s="477"/>
      <c r="M83" s="478"/>
      <c r="N83" s="477"/>
      <c r="O83" s="478"/>
      <c r="P83" s="477"/>
      <c r="Q83" s="478"/>
      <c r="R83" s="477"/>
      <c r="S83" s="478"/>
      <c r="T83" s="477"/>
      <c r="U83" s="478"/>
      <c r="V83" s="477"/>
      <c r="W83" s="478"/>
      <c r="X83" s="477"/>
      <c r="Y83" s="478"/>
      <c r="Z83" s="406"/>
    </row>
    <row r="84" spans="1:26">
      <c r="A84" s="475"/>
      <c r="B84" s="477"/>
      <c r="C84" s="477"/>
      <c r="D84" s="477"/>
      <c r="E84" s="478"/>
      <c r="F84" s="477"/>
      <c r="G84" s="478"/>
      <c r="H84" s="477"/>
      <c r="I84" s="478"/>
      <c r="J84" s="477"/>
      <c r="K84" s="477"/>
      <c r="L84" s="477"/>
      <c r="M84" s="478"/>
      <c r="N84" s="477"/>
      <c r="O84" s="478"/>
      <c r="P84" s="477"/>
      <c r="Q84" s="478"/>
      <c r="R84" s="477"/>
      <c r="S84" s="478"/>
      <c r="T84" s="477"/>
      <c r="U84" s="478"/>
      <c r="V84" s="477"/>
      <c r="W84" s="478"/>
      <c r="X84" s="477"/>
      <c r="Y84" s="478"/>
      <c r="Z84" s="406"/>
    </row>
    <row r="85" spans="1:26">
      <c r="A85" s="475"/>
      <c r="B85" s="477"/>
      <c r="C85" s="477"/>
      <c r="D85" s="477"/>
      <c r="E85" s="478"/>
      <c r="F85" s="477"/>
      <c r="G85" s="478"/>
      <c r="H85" s="477"/>
      <c r="I85" s="478"/>
      <c r="J85" s="477"/>
      <c r="K85" s="477"/>
      <c r="L85" s="477"/>
      <c r="M85" s="478"/>
      <c r="N85" s="477"/>
      <c r="O85" s="478"/>
      <c r="P85" s="477"/>
      <c r="Q85" s="478"/>
      <c r="R85" s="477"/>
      <c r="S85" s="478"/>
      <c r="T85" s="477"/>
      <c r="U85" s="478"/>
      <c r="V85" s="477"/>
      <c r="W85" s="478"/>
      <c r="X85" s="477"/>
      <c r="Y85" s="478"/>
      <c r="Z85" s="406"/>
    </row>
    <row r="86" spans="1:26">
      <c r="A86" s="475"/>
      <c r="B86" s="477"/>
      <c r="C86" s="477"/>
      <c r="D86" s="477"/>
      <c r="E86" s="478"/>
      <c r="F86" s="477"/>
      <c r="G86" s="478"/>
      <c r="H86" s="477"/>
      <c r="I86" s="478"/>
      <c r="J86" s="477"/>
      <c r="K86" s="477"/>
      <c r="L86" s="477"/>
      <c r="M86" s="478"/>
      <c r="N86" s="477"/>
      <c r="O86" s="478"/>
      <c r="P86" s="477"/>
      <c r="Q86" s="478"/>
      <c r="R86" s="477"/>
      <c r="S86" s="478"/>
      <c r="T86" s="477"/>
      <c r="U86" s="478"/>
      <c r="V86" s="477"/>
      <c r="W86" s="478"/>
      <c r="X86" s="477"/>
      <c r="Y86" s="478"/>
      <c r="Z86" s="406"/>
    </row>
    <row r="87" spans="1:26">
      <c r="A87" s="475"/>
      <c r="B87" s="477"/>
      <c r="C87" s="477"/>
      <c r="D87" s="477"/>
      <c r="E87" s="478"/>
      <c r="F87" s="477"/>
      <c r="G87" s="478"/>
      <c r="H87" s="477"/>
      <c r="I87" s="478"/>
      <c r="J87" s="477"/>
      <c r="K87" s="477"/>
      <c r="L87" s="477"/>
      <c r="M87" s="478"/>
      <c r="N87" s="477"/>
      <c r="O87" s="478"/>
      <c r="P87" s="477"/>
      <c r="Q87" s="478"/>
      <c r="R87" s="477"/>
      <c r="S87" s="478"/>
      <c r="T87" s="477"/>
      <c r="U87" s="478"/>
      <c r="V87" s="477"/>
      <c r="W87" s="478"/>
      <c r="X87" s="477"/>
      <c r="Y87" s="478"/>
      <c r="Z87" s="406"/>
    </row>
    <row r="88" spans="1:26">
      <c r="A88" s="475"/>
      <c r="B88" s="477"/>
      <c r="C88" s="477"/>
      <c r="D88" s="477"/>
      <c r="E88" s="478"/>
      <c r="F88" s="477"/>
      <c r="G88" s="478"/>
      <c r="H88" s="477"/>
      <c r="I88" s="478"/>
      <c r="J88" s="477"/>
      <c r="K88" s="477"/>
      <c r="L88" s="477"/>
      <c r="M88" s="478"/>
      <c r="N88" s="477"/>
      <c r="O88" s="478"/>
      <c r="P88" s="477"/>
      <c r="Q88" s="478"/>
      <c r="R88" s="477"/>
      <c r="S88" s="478"/>
      <c r="T88" s="477"/>
      <c r="U88" s="478"/>
      <c r="V88" s="477"/>
      <c r="W88" s="478"/>
      <c r="X88" s="477"/>
      <c r="Y88" s="478"/>
      <c r="Z88" s="406"/>
    </row>
    <row r="89" spans="1:26">
      <c r="A89" s="475"/>
      <c r="B89" s="477"/>
      <c r="C89" s="477"/>
      <c r="D89" s="477"/>
      <c r="E89" s="478"/>
      <c r="F89" s="477"/>
      <c r="G89" s="478"/>
      <c r="H89" s="477"/>
      <c r="I89" s="478"/>
      <c r="J89" s="477"/>
      <c r="K89" s="477"/>
      <c r="L89" s="477"/>
      <c r="M89" s="478"/>
      <c r="N89" s="477"/>
      <c r="O89" s="478"/>
      <c r="P89" s="477"/>
      <c r="Q89" s="478"/>
      <c r="R89" s="477"/>
      <c r="S89" s="478"/>
      <c r="T89" s="477"/>
      <c r="U89" s="478"/>
      <c r="V89" s="477"/>
      <c r="W89" s="478"/>
      <c r="X89" s="477"/>
      <c r="Y89" s="478"/>
      <c r="Z89" s="406"/>
    </row>
    <row r="90" spans="1:26">
      <c r="A90" s="475"/>
      <c r="B90" s="477"/>
      <c r="C90" s="477"/>
      <c r="D90" s="477"/>
      <c r="E90" s="478"/>
      <c r="F90" s="477"/>
      <c r="G90" s="478"/>
      <c r="H90" s="477"/>
      <c r="I90" s="478"/>
      <c r="J90" s="477"/>
      <c r="K90" s="477"/>
      <c r="L90" s="477"/>
      <c r="M90" s="478"/>
      <c r="N90" s="477"/>
      <c r="O90" s="478"/>
      <c r="P90" s="477"/>
      <c r="Q90" s="478"/>
      <c r="R90" s="477"/>
      <c r="S90" s="478"/>
      <c r="T90" s="477"/>
      <c r="U90" s="478"/>
      <c r="V90" s="477"/>
      <c r="W90" s="478"/>
      <c r="X90" s="477"/>
      <c r="Y90" s="478"/>
      <c r="Z90" s="406"/>
    </row>
    <row r="91" spans="1:26">
      <c r="A91" s="475"/>
      <c r="B91" s="477"/>
      <c r="C91" s="477"/>
      <c r="D91" s="477"/>
      <c r="E91" s="478"/>
      <c r="F91" s="477"/>
      <c r="G91" s="478"/>
      <c r="H91" s="477"/>
      <c r="I91" s="478"/>
      <c r="J91" s="477"/>
      <c r="K91" s="477"/>
      <c r="L91" s="477"/>
      <c r="M91" s="478"/>
      <c r="N91" s="477"/>
      <c r="O91" s="478"/>
      <c r="P91" s="477"/>
      <c r="Q91" s="478"/>
      <c r="R91" s="477"/>
      <c r="S91" s="478"/>
      <c r="T91" s="477"/>
      <c r="U91" s="478"/>
      <c r="V91" s="477"/>
      <c r="W91" s="478"/>
      <c r="X91" s="477"/>
      <c r="Y91" s="478"/>
      <c r="Z91" s="406"/>
    </row>
    <row r="92" spans="1:26">
      <c r="A92" s="475"/>
      <c r="B92" s="477"/>
      <c r="C92" s="477"/>
      <c r="D92" s="477"/>
      <c r="E92" s="478"/>
      <c r="F92" s="477"/>
      <c r="G92" s="478"/>
      <c r="H92" s="477"/>
      <c r="I92" s="478"/>
      <c r="J92" s="477"/>
      <c r="K92" s="477"/>
      <c r="L92" s="477"/>
      <c r="M92" s="478"/>
      <c r="N92" s="477"/>
      <c r="O92" s="478"/>
      <c r="P92" s="477"/>
      <c r="Q92" s="478"/>
      <c r="R92" s="477"/>
      <c r="S92" s="478"/>
      <c r="T92" s="477"/>
      <c r="U92" s="478"/>
      <c r="V92" s="477"/>
      <c r="W92" s="478"/>
      <c r="X92" s="477"/>
      <c r="Y92" s="478"/>
      <c r="Z92" s="406"/>
    </row>
    <row r="93" spans="1:26">
      <c r="A93" s="475"/>
      <c r="B93" s="477"/>
      <c r="C93" s="477"/>
      <c r="D93" s="477"/>
      <c r="E93" s="478"/>
      <c r="F93" s="477"/>
      <c r="G93" s="478"/>
      <c r="H93" s="477"/>
      <c r="I93" s="478"/>
      <c r="J93" s="477"/>
      <c r="K93" s="477"/>
      <c r="L93" s="477"/>
      <c r="M93" s="478"/>
      <c r="N93" s="477"/>
      <c r="O93" s="478"/>
      <c r="P93" s="477"/>
      <c r="Q93" s="478"/>
      <c r="R93" s="477"/>
      <c r="S93" s="478"/>
      <c r="T93" s="477"/>
      <c r="U93" s="478"/>
      <c r="V93" s="477"/>
      <c r="W93" s="478"/>
      <c r="X93" s="477"/>
      <c r="Y93" s="478"/>
      <c r="Z93" s="406"/>
    </row>
    <row r="94" spans="1:26">
      <c r="A94" s="475"/>
      <c r="B94" s="477"/>
      <c r="C94" s="477"/>
      <c r="D94" s="477"/>
      <c r="E94" s="478"/>
      <c r="F94" s="477"/>
      <c r="G94" s="478"/>
      <c r="H94" s="477"/>
      <c r="I94" s="478"/>
      <c r="J94" s="477"/>
      <c r="K94" s="477"/>
      <c r="L94" s="477"/>
      <c r="M94" s="478"/>
      <c r="N94" s="477"/>
      <c r="O94" s="478"/>
      <c r="P94" s="477"/>
      <c r="Q94" s="478"/>
      <c r="R94" s="477"/>
      <c r="S94" s="478"/>
      <c r="T94" s="477"/>
      <c r="U94" s="478"/>
      <c r="V94" s="477"/>
      <c r="W94" s="478"/>
      <c r="X94" s="477"/>
      <c r="Y94" s="478"/>
      <c r="Z94" s="406"/>
    </row>
  </sheetData>
  <sortState xmlns:xlrd2="http://schemas.microsoft.com/office/spreadsheetml/2017/richdata2"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58"/>
  <sheetViews>
    <sheetView showGridLines="0" zoomScale="70" zoomScaleNormal="70" workbookViewId="0"/>
  </sheetViews>
  <sheetFormatPr defaultColWidth="8.81640625" defaultRowHeight="17.25" customHeight="1"/>
  <cols>
    <col min="1" max="1" width="62.08984375" style="3690" customWidth="1"/>
    <col min="2" max="2" width="2.08984375" style="3522" customWidth="1"/>
    <col min="3" max="3" width="26" style="3690" customWidth="1"/>
    <col min="4" max="4" width="22.08984375" style="3690" customWidth="1"/>
    <col min="5" max="5" width="25.08984375" style="3690" customWidth="1"/>
    <col min="6" max="6" width="2" style="3690" customWidth="1"/>
    <col min="7" max="7" width="24.08984375" style="3525" customWidth="1"/>
    <col min="8" max="8" width="22.81640625" style="3522" customWidth="1"/>
    <col min="9" max="9" width="26.54296875" style="3522" customWidth="1"/>
    <col min="10" max="10" width="19.81640625" style="3750" customWidth="1"/>
    <col min="11" max="11" width="21.81640625" style="3750" customWidth="1"/>
    <col min="12" max="12" width="18" style="3750" bestFit="1" customWidth="1"/>
    <col min="13" max="13" width="18.453125" style="3750" customWidth="1"/>
    <col min="14" max="14" width="16.81640625" style="3522" customWidth="1"/>
    <col min="15" max="16384" width="8.81640625" style="3522"/>
  </cols>
  <sheetData>
    <row r="1" spans="1:14" ht="17.25" customHeight="1">
      <c r="A1" s="1484" t="s">
        <v>881</v>
      </c>
    </row>
    <row r="3" spans="1:14" ht="25.35" customHeight="1">
      <c r="A3" s="3716" t="s">
        <v>0</v>
      </c>
      <c r="C3" s="3523"/>
      <c r="D3" s="3523"/>
      <c r="E3" s="3523"/>
      <c r="F3" s="3524"/>
      <c r="H3" s="3527" t="s">
        <v>14</v>
      </c>
      <c r="I3" s="3528" t="s">
        <v>1310</v>
      </c>
    </row>
    <row r="4" spans="1:14" ht="25.35" customHeight="1">
      <c r="A4" s="3717" t="s">
        <v>1331</v>
      </c>
      <c r="C4" s="3523"/>
      <c r="D4" s="3523"/>
      <c r="E4" s="3523"/>
      <c r="F4" s="3524"/>
    </row>
    <row r="5" spans="1:14" ht="21" customHeight="1">
      <c r="A5" s="3815" t="str">
        <f>'HCRA '!A6</f>
        <v xml:space="preserve">FISCAL YEAR 2021-2022   </v>
      </c>
      <c r="C5" s="3523"/>
      <c r="D5" s="3523"/>
      <c r="E5" s="3523"/>
      <c r="F5" s="3524"/>
    </row>
    <row r="6" spans="1:14" ht="17.25" customHeight="1">
      <c r="A6" s="3718"/>
      <c r="C6" s="3523"/>
      <c r="D6" s="3523"/>
      <c r="E6" s="3523"/>
      <c r="F6" s="3524"/>
    </row>
    <row r="7" spans="1:14" ht="17.25" customHeight="1">
      <c r="A7" s="3719"/>
      <c r="B7" s="3573"/>
      <c r="C7" s="4010" t="s">
        <v>1578</v>
      </c>
      <c r="D7" s="4011"/>
      <c r="E7" s="4011"/>
      <c r="F7" s="3680"/>
      <c r="G7" s="4011" t="s">
        <v>1577</v>
      </c>
      <c r="H7" s="4011"/>
      <c r="I7" s="4011"/>
    </row>
    <row r="8" spans="1:14" ht="17.25" customHeight="1">
      <c r="A8" s="3719"/>
      <c r="B8" s="3573"/>
      <c r="C8" s="3719"/>
      <c r="D8" s="3719"/>
      <c r="E8" s="3719"/>
      <c r="F8" s="3719"/>
      <c r="G8" s="3682"/>
      <c r="H8" s="3573"/>
      <c r="I8" s="3573"/>
    </row>
    <row r="9" spans="1:14" ht="17.25" customHeight="1">
      <c r="A9" s="3574"/>
      <c r="B9" s="3573"/>
      <c r="C9" s="3574" t="s">
        <v>1280</v>
      </c>
      <c r="D9" s="3574" t="s">
        <v>1281</v>
      </c>
      <c r="E9" s="3574" t="s">
        <v>1582</v>
      </c>
      <c r="F9" s="3574"/>
      <c r="G9" s="3574" t="s">
        <v>1280</v>
      </c>
      <c r="H9" s="3574" t="s">
        <v>1281</v>
      </c>
      <c r="I9" s="3526" t="s">
        <v>1282</v>
      </c>
    </row>
    <row r="10" spans="1:14" s="3722" customFormat="1" ht="17.25" customHeight="1">
      <c r="A10" s="3720"/>
      <c r="B10" s="3685"/>
      <c r="C10" s="3721"/>
      <c r="D10" s="3721"/>
      <c r="E10" s="3721"/>
      <c r="F10" s="3721"/>
      <c r="G10" s="3542"/>
      <c r="H10" s="3542"/>
      <c r="I10" s="3542"/>
      <c r="J10" s="3756"/>
      <c r="K10" s="3756"/>
      <c r="L10" s="3756"/>
      <c r="M10" s="3756"/>
    </row>
    <row r="11" spans="1:14" s="3726" customFormat="1" ht="17.25" customHeight="1">
      <c r="A11" s="3723" t="s">
        <v>1283</v>
      </c>
      <c r="B11" s="3724"/>
      <c r="C11" s="3543">
        <v>0</v>
      </c>
      <c r="D11" s="3543">
        <v>0</v>
      </c>
      <c r="E11" s="3725">
        <f>C11+D11</f>
        <v>0</v>
      </c>
      <c r="F11" s="3725"/>
      <c r="G11" s="3543">
        <v>0</v>
      </c>
      <c r="H11" s="3543">
        <v>211252297</v>
      </c>
      <c r="I11" s="3725">
        <f>G11+H11</f>
        <v>211252297</v>
      </c>
      <c r="J11" s="3777"/>
      <c r="K11" s="3777"/>
      <c r="L11" s="3777"/>
      <c r="M11" s="3777"/>
      <c r="N11" s="3727"/>
    </row>
    <row r="12" spans="1:14" s="3726" customFormat="1" ht="17.25" customHeight="1">
      <c r="A12" s="3723" t="s">
        <v>1303</v>
      </c>
      <c r="B12" s="3724"/>
      <c r="C12" s="3728">
        <v>0</v>
      </c>
      <c r="D12" s="3544">
        <v>177549.86</v>
      </c>
      <c r="E12" s="3539">
        <f>C12+D12</f>
        <v>177549.86</v>
      </c>
      <c r="F12" s="3539"/>
      <c r="G12" s="3728">
        <v>102076503</v>
      </c>
      <c r="H12" s="3544">
        <v>3578170.82</v>
      </c>
      <c r="I12" s="3539">
        <f>G12+H12</f>
        <v>105654673.81999999</v>
      </c>
      <c r="J12" s="3777"/>
      <c r="K12" s="3777"/>
      <c r="L12" s="3777"/>
      <c r="M12" s="3777"/>
      <c r="N12" s="3727"/>
    </row>
    <row r="13" spans="1:14" s="3726" customFormat="1" ht="17.25" customHeight="1">
      <c r="A13" s="3723" t="s">
        <v>1304</v>
      </c>
      <c r="B13" s="3724"/>
      <c r="C13" s="3728">
        <v>0</v>
      </c>
      <c r="D13" s="3544">
        <v>0</v>
      </c>
      <c r="E13" s="3539">
        <f t="shared" ref="E13:E42" si="0">C13+D13</f>
        <v>0</v>
      </c>
      <c r="F13" s="3539"/>
      <c r="G13" s="3728">
        <v>0</v>
      </c>
      <c r="H13" s="3544">
        <v>1687817117.79</v>
      </c>
      <c r="I13" s="3539">
        <f t="shared" ref="I13:I42" si="1">G13+H13</f>
        <v>1687817117.79</v>
      </c>
      <c r="J13" s="3777"/>
      <c r="K13" s="3777"/>
      <c r="L13" s="3777"/>
      <c r="M13" s="3777"/>
      <c r="N13" s="3727"/>
    </row>
    <row r="14" spans="1:14" s="3726" customFormat="1" ht="17.25" customHeight="1">
      <c r="A14" s="3529" t="s">
        <v>1294</v>
      </c>
      <c r="B14" s="3729"/>
      <c r="C14" s="3728">
        <v>7276257.4400000004</v>
      </c>
      <c r="D14" s="3544">
        <v>26508083</v>
      </c>
      <c r="E14" s="3539">
        <f t="shared" si="0"/>
        <v>33784340.439999998</v>
      </c>
      <c r="F14" s="3539"/>
      <c r="G14" s="3728">
        <v>47310498.130000003</v>
      </c>
      <c r="H14" s="3544">
        <v>336272689</v>
      </c>
      <c r="I14" s="3539">
        <f t="shared" si="1"/>
        <v>383583187.13</v>
      </c>
      <c r="J14" s="3777"/>
      <c r="K14" s="3777"/>
      <c r="L14" s="3777"/>
      <c r="M14" s="3777"/>
      <c r="N14" s="3727"/>
    </row>
    <row r="15" spans="1:14" s="3726" customFormat="1" ht="17.25" customHeight="1">
      <c r="A15" s="3723" t="s">
        <v>1305</v>
      </c>
      <c r="B15" s="3724"/>
      <c r="C15" s="3728">
        <v>1081528.03</v>
      </c>
      <c r="D15" s="3544">
        <v>0</v>
      </c>
      <c r="E15" s="3539">
        <f t="shared" si="0"/>
        <v>1081528.03</v>
      </c>
      <c r="F15" s="3539"/>
      <c r="G15" s="3728">
        <v>9610183.8900000006</v>
      </c>
      <c r="H15" s="3544">
        <v>0</v>
      </c>
      <c r="I15" s="3539">
        <f t="shared" si="1"/>
        <v>9610183.8900000006</v>
      </c>
      <c r="J15" s="3777"/>
      <c r="K15" s="3777"/>
      <c r="L15" s="3777"/>
      <c r="M15" s="3777"/>
      <c r="N15" s="3727"/>
    </row>
    <row r="16" spans="1:14" s="3726" customFormat="1" ht="17.25" customHeight="1">
      <c r="A16" s="3723" t="s">
        <v>1586</v>
      </c>
      <c r="B16" s="3724"/>
      <c r="C16" s="3728">
        <v>897438.57</v>
      </c>
      <c r="D16" s="3544">
        <v>0</v>
      </c>
      <c r="E16" s="3539">
        <f t="shared" si="0"/>
        <v>897438.57</v>
      </c>
      <c r="F16" s="3539"/>
      <c r="G16" s="3728">
        <v>897438.57000000007</v>
      </c>
      <c r="H16" s="3544">
        <v>0</v>
      </c>
      <c r="I16" s="3539">
        <f t="shared" si="1"/>
        <v>897438.57000000007</v>
      </c>
      <c r="J16" s="3777"/>
      <c r="K16" s="3777"/>
      <c r="L16" s="3777"/>
      <c r="M16" s="3777"/>
      <c r="N16" s="3727"/>
    </row>
    <row r="17" spans="1:14" s="3726" customFormat="1" ht="17.25" customHeight="1">
      <c r="A17" s="3723" t="s">
        <v>1284</v>
      </c>
      <c r="B17" s="3724"/>
      <c r="C17" s="3728">
        <v>190020.79</v>
      </c>
      <c r="D17" s="3544">
        <v>0</v>
      </c>
      <c r="E17" s="3539">
        <f t="shared" si="0"/>
        <v>190020.79</v>
      </c>
      <c r="F17" s="3539"/>
      <c r="G17" s="3728">
        <v>448592.46</v>
      </c>
      <c r="H17" s="3544">
        <v>0</v>
      </c>
      <c r="I17" s="3539">
        <f t="shared" si="1"/>
        <v>448592.46</v>
      </c>
      <c r="J17" s="3777"/>
      <c r="K17" s="3777"/>
      <c r="L17" s="3777"/>
      <c r="M17" s="3777"/>
      <c r="N17" s="3727"/>
    </row>
    <row r="18" spans="1:14" s="3726" customFormat="1" ht="17.25" customHeight="1">
      <c r="A18" s="3723" t="s">
        <v>1285</v>
      </c>
      <c r="B18" s="3724"/>
      <c r="C18" s="3728">
        <v>0</v>
      </c>
      <c r="D18" s="3544">
        <v>1380875.47</v>
      </c>
      <c r="E18" s="3539">
        <f t="shared" si="0"/>
        <v>1380875.47</v>
      </c>
      <c r="F18" s="3539"/>
      <c r="G18" s="3728">
        <v>0</v>
      </c>
      <c r="H18" s="3544">
        <v>13025808.789999999</v>
      </c>
      <c r="I18" s="3539">
        <f t="shared" si="1"/>
        <v>13025808.789999999</v>
      </c>
      <c r="J18" s="3777"/>
      <c r="K18" s="3777"/>
      <c r="L18" s="3777"/>
      <c r="M18" s="3777"/>
      <c r="N18" s="3727"/>
    </row>
    <row r="19" spans="1:14" s="3726" customFormat="1" ht="17.25" customHeight="1">
      <c r="A19" s="3723" t="s">
        <v>1286</v>
      </c>
      <c r="B19" s="3724"/>
      <c r="C19" s="3728">
        <v>331038.95</v>
      </c>
      <c r="D19" s="3544">
        <v>0</v>
      </c>
      <c r="E19" s="3539">
        <f t="shared" si="0"/>
        <v>331038.95</v>
      </c>
      <c r="F19" s="3539"/>
      <c r="G19" s="3728">
        <v>3135471.53</v>
      </c>
      <c r="H19" s="3544">
        <v>0</v>
      </c>
      <c r="I19" s="3539">
        <f t="shared" si="1"/>
        <v>3135471.53</v>
      </c>
      <c r="J19" s="3777"/>
      <c r="K19" s="3777"/>
      <c r="L19" s="3777"/>
      <c r="M19" s="3777"/>
      <c r="N19" s="3727"/>
    </row>
    <row r="20" spans="1:14" s="3726" customFormat="1" ht="17.25" customHeight="1">
      <c r="A20" s="3723" t="s">
        <v>1306</v>
      </c>
      <c r="B20" s="3724"/>
      <c r="C20" s="3728">
        <v>629301.16</v>
      </c>
      <c r="D20" s="3544">
        <v>0</v>
      </c>
      <c r="E20" s="3539">
        <f t="shared" si="0"/>
        <v>629301.16</v>
      </c>
      <c r="F20" s="3539"/>
      <c r="G20" s="3728">
        <v>4444203.8099999996</v>
      </c>
      <c r="H20" s="3544">
        <v>0</v>
      </c>
      <c r="I20" s="3539">
        <f t="shared" si="1"/>
        <v>4444203.8099999996</v>
      </c>
      <c r="J20" s="3777"/>
      <c r="K20" s="3777"/>
      <c r="L20" s="3777"/>
      <c r="M20" s="3777"/>
      <c r="N20" s="3727"/>
    </row>
    <row r="21" spans="1:14" s="3726" customFormat="1" ht="17.25" customHeight="1">
      <c r="A21" s="3723" t="s">
        <v>1314</v>
      </c>
      <c r="B21" s="3724"/>
      <c r="C21" s="3728">
        <v>35455179</v>
      </c>
      <c r="D21" s="3544">
        <v>0</v>
      </c>
      <c r="E21" s="3539">
        <f t="shared" si="0"/>
        <v>35455179</v>
      </c>
      <c r="F21" s="3539"/>
      <c r="G21" s="3728">
        <v>260278561</v>
      </c>
      <c r="H21" s="3544">
        <v>0</v>
      </c>
      <c r="I21" s="3539">
        <f t="shared" si="1"/>
        <v>260278561</v>
      </c>
      <c r="J21" s="3777"/>
      <c r="K21" s="3777"/>
      <c r="L21" s="3777"/>
      <c r="M21" s="3777"/>
      <c r="N21" s="3727"/>
    </row>
    <row r="22" spans="1:14" s="3726" customFormat="1" ht="17.25" customHeight="1">
      <c r="A22" s="3723" t="s">
        <v>1287</v>
      </c>
      <c r="B22" s="3724"/>
      <c r="C22" s="3728">
        <v>1407537.55</v>
      </c>
      <c r="D22" s="3544">
        <v>0</v>
      </c>
      <c r="E22" s="3539">
        <f t="shared" si="0"/>
        <v>1407537.55</v>
      </c>
      <c r="F22" s="3539"/>
      <c r="G22" s="3728">
        <v>9699856.25</v>
      </c>
      <c r="H22" s="3544">
        <v>0</v>
      </c>
      <c r="I22" s="3539">
        <f t="shared" si="1"/>
        <v>9699856.25</v>
      </c>
      <c r="J22" s="3777"/>
      <c r="K22" s="3777"/>
      <c r="L22" s="3777"/>
      <c r="M22" s="3777"/>
      <c r="N22" s="3727"/>
    </row>
    <row r="23" spans="1:14" s="3726" customFormat="1" ht="17.25" customHeight="1">
      <c r="A23" s="3723" t="s">
        <v>1316</v>
      </c>
      <c r="B23" s="3724"/>
      <c r="C23" s="3728">
        <v>2698162.16</v>
      </c>
      <c r="D23" s="3544">
        <v>0</v>
      </c>
      <c r="E23" s="3539">
        <f t="shared" si="0"/>
        <v>2698162.16</v>
      </c>
      <c r="F23" s="3539"/>
      <c r="G23" s="3728">
        <v>17997687.25</v>
      </c>
      <c r="H23" s="3544">
        <v>0</v>
      </c>
      <c r="I23" s="3539">
        <f t="shared" si="1"/>
        <v>17997687.25</v>
      </c>
      <c r="J23" s="3777"/>
      <c r="K23" s="3777"/>
      <c r="L23" s="3777"/>
      <c r="M23" s="3777"/>
      <c r="N23" s="3727"/>
    </row>
    <row r="24" spans="1:14" s="3726" customFormat="1" ht="17.25" customHeight="1">
      <c r="A24" s="3723" t="s">
        <v>1288</v>
      </c>
      <c r="B24" s="3724"/>
      <c r="C24" s="3728">
        <v>2573983.5499999998</v>
      </c>
      <c r="D24" s="3544">
        <v>281388.89</v>
      </c>
      <c r="E24" s="3539">
        <f t="shared" si="0"/>
        <v>2855372.44</v>
      </c>
      <c r="F24" s="3539"/>
      <c r="G24" s="3728">
        <v>21389887.510000002</v>
      </c>
      <c r="H24" s="3544">
        <v>11428974.6</v>
      </c>
      <c r="I24" s="3539">
        <f t="shared" si="1"/>
        <v>32818862.109999999</v>
      </c>
      <c r="J24" s="3777"/>
      <c r="K24" s="3777"/>
      <c r="L24" s="3777"/>
      <c r="M24" s="3777"/>
      <c r="N24" s="3727"/>
    </row>
    <row r="25" spans="1:14" s="3726" customFormat="1" ht="17.25" customHeight="1">
      <c r="A25" s="3723" t="s">
        <v>1289</v>
      </c>
      <c r="B25" s="3724"/>
      <c r="C25" s="3728">
        <v>0</v>
      </c>
      <c r="D25" s="3544">
        <v>0</v>
      </c>
      <c r="E25" s="3539">
        <f t="shared" si="0"/>
        <v>0</v>
      </c>
      <c r="F25" s="3539"/>
      <c r="G25" s="3728">
        <v>13490550</v>
      </c>
      <c r="H25" s="3544">
        <v>0</v>
      </c>
      <c r="I25" s="3539">
        <f t="shared" si="1"/>
        <v>13490550</v>
      </c>
      <c r="J25" s="3777"/>
      <c r="K25" s="3777"/>
      <c r="L25" s="3777"/>
      <c r="M25" s="3777"/>
      <c r="N25" s="3727"/>
    </row>
    <row r="26" spans="1:14" s="3726" customFormat="1" ht="17.25" customHeight="1">
      <c r="A26" s="3723" t="s">
        <v>1295</v>
      </c>
      <c r="B26" s="3724"/>
      <c r="C26" s="3728">
        <v>1101990</v>
      </c>
      <c r="D26" s="3544">
        <v>0</v>
      </c>
      <c r="E26" s="3539">
        <f t="shared" si="0"/>
        <v>1101990</v>
      </c>
      <c r="F26" s="3539"/>
      <c r="G26" s="3728">
        <v>398498317.39999998</v>
      </c>
      <c r="H26" s="3544">
        <v>0</v>
      </c>
      <c r="I26" s="3539">
        <f t="shared" si="1"/>
        <v>398498317.39999998</v>
      </c>
      <c r="J26" s="3777"/>
      <c r="K26" s="3777"/>
      <c r="L26" s="3777"/>
      <c r="M26" s="3777"/>
      <c r="N26" s="3727"/>
    </row>
    <row r="27" spans="1:14" s="3726" customFormat="1" ht="17.25" customHeight="1">
      <c r="A27" s="3723" t="s">
        <v>1342</v>
      </c>
      <c r="B27" s="3724"/>
      <c r="C27" s="3728">
        <v>0</v>
      </c>
      <c r="D27" s="3544">
        <v>0</v>
      </c>
      <c r="E27" s="3539">
        <f t="shared" si="0"/>
        <v>0</v>
      </c>
      <c r="F27" s="3539"/>
      <c r="G27" s="3728">
        <v>58632136.490000002</v>
      </c>
      <c r="H27" s="3544">
        <v>0</v>
      </c>
      <c r="I27" s="3539">
        <f t="shared" si="1"/>
        <v>58632136.490000002</v>
      </c>
      <c r="J27" s="3777"/>
      <c r="K27" s="3777"/>
      <c r="L27" s="3777"/>
      <c r="M27" s="3777"/>
      <c r="N27" s="3727"/>
    </row>
    <row r="28" spans="1:14" s="3726" customFormat="1" ht="17.25" customHeight="1">
      <c r="A28" s="3723" t="s">
        <v>1296</v>
      </c>
      <c r="B28" s="3724"/>
      <c r="C28" s="3728">
        <v>690806.26</v>
      </c>
      <c r="D28" s="3544">
        <v>0</v>
      </c>
      <c r="E28" s="3539">
        <f t="shared" si="0"/>
        <v>690806.26</v>
      </c>
      <c r="F28" s="3539"/>
      <c r="G28" s="3728">
        <v>187852669.19</v>
      </c>
      <c r="H28" s="3544">
        <v>0</v>
      </c>
      <c r="I28" s="3539">
        <f t="shared" si="1"/>
        <v>187852669.19</v>
      </c>
      <c r="J28" s="3777"/>
      <c r="K28" s="3777"/>
      <c r="L28" s="3777"/>
      <c r="M28" s="3777"/>
      <c r="N28" s="3727"/>
    </row>
    <row r="29" spans="1:14" s="3726" customFormat="1" ht="17.25" customHeight="1">
      <c r="A29" s="3723" t="s">
        <v>1297</v>
      </c>
      <c r="B29" s="3724"/>
      <c r="C29" s="3728">
        <v>15569348.35</v>
      </c>
      <c r="D29" s="3544">
        <v>0</v>
      </c>
      <c r="E29" s="3539">
        <f t="shared" si="0"/>
        <v>15569348.35</v>
      </c>
      <c r="F29" s="3539"/>
      <c r="G29" s="3728">
        <v>171935315.83000001</v>
      </c>
      <c r="H29" s="3544">
        <v>0</v>
      </c>
      <c r="I29" s="3539">
        <f t="shared" si="1"/>
        <v>171935315.83000001</v>
      </c>
      <c r="J29" s="3777"/>
      <c r="K29" s="3777"/>
      <c r="L29" s="3777"/>
      <c r="M29" s="3777"/>
      <c r="N29" s="3727"/>
    </row>
    <row r="30" spans="1:14" s="3726" customFormat="1" ht="17.25" customHeight="1">
      <c r="A30" s="3723" t="s">
        <v>1290</v>
      </c>
      <c r="B30" s="3724"/>
      <c r="C30" s="3728">
        <v>80334064.980000004</v>
      </c>
      <c r="D30" s="3544">
        <v>0</v>
      </c>
      <c r="E30" s="3539">
        <f t="shared" si="0"/>
        <v>80334064.980000004</v>
      </c>
      <c r="F30" s="3539"/>
      <c r="G30" s="3728">
        <v>1112046676.5</v>
      </c>
      <c r="H30" s="3544">
        <v>0</v>
      </c>
      <c r="I30" s="3539">
        <f t="shared" si="1"/>
        <v>1112046676.5</v>
      </c>
      <c r="J30" s="3777"/>
      <c r="K30" s="3777"/>
      <c r="L30" s="3777"/>
      <c r="M30" s="3777"/>
      <c r="N30" s="3727"/>
    </row>
    <row r="31" spans="1:14" s="3726" customFormat="1" ht="17.25" customHeight="1">
      <c r="A31" s="3723" t="s">
        <v>1298</v>
      </c>
      <c r="B31" s="3724"/>
      <c r="C31" s="3728">
        <v>345956669.56999999</v>
      </c>
      <c r="D31" s="3544">
        <v>0</v>
      </c>
      <c r="E31" s="3539">
        <f t="shared" si="0"/>
        <v>345956669.56999999</v>
      </c>
      <c r="F31" s="3539"/>
      <c r="G31" s="3728">
        <v>2296664407.0799999</v>
      </c>
      <c r="H31" s="3544">
        <v>0</v>
      </c>
      <c r="I31" s="3539">
        <f t="shared" si="1"/>
        <v>2296664407.0799999</v>
      </c>
      <c r="J31" s="3777"/>
      <c r="K31" s="3777"/>
      <c r="L31" s="3777"/>
      <c r="M31" s="3777"/>
      <c r="N31" s="3727"/>
    </row>
    <row r="32" spans="1:14" s="3726" customFormat="1" ht="17.25" customHeight="1">
      <c r="A32" s="3723" t="s">
        <v>1299</v>
      </c>
      <c r="B32" s="3724"/>
      <c r="C32" s="3728">
        <v>360672899.57999998</v>
      </c>
      <c r="D32" s="3544">
        <v>0</v>
      </c>
      <c r="E32" s="3539">
        <f t="shared" si="0"/>
        <v>360672899.57999998</v>
      </c>
      <c r="F32" s="3539"/>
      <c r="G32" s="3728">
        <v>4279133269.2600002</v>
      </c>
      <c r="H32" s="3544">
        <v>0</v>
      </c>
      <c r="I32" s="3539">
        <f t="shared" si="1"/>
        <v>4279133269.2600002</v>
      </c>
      <c r="J32" s="3777"/>
      <c r="K32" s="3777"/>
      <c r="L32" s="3777"/>
      <c r="M32" s="3777"/>
      <c r="N32" s="3727"/>
    </row>
    <row r="33" spans="1:15" s="3726" customFormat="1" ht="17.25" customHeight="1">
      <c r="A33" s="3723" t="s">
        <v>1291</v>
      </c>
      <c r="B33" s="3724"/>
      <c r="C33" s="3728">
        <v>12851289.41</v>
      </c>
      <c r="D33" s="3544">
        <v>0</v>
      </c>
      <c r="E33" s="3539">
        <f t="shared" si="0"/>
        <v>12851289.41</v>
      </c>
      <c r="F33" s="3539"/>
      <c r="G33" s="3728">
        <v>138582290.03</v>
      </c>
      <c r="H33" s="3544">
        <v>0</v>
      </c>
      <c r="I33" s="3539">
        <f t="shared" si="1"/>
        <v>138582290.03</v>
      </c>
      <c r="J33" s="3777"/>
      <c r="K33" s="3777"/>
      <c r="L33" s="3777"/>
      <c r="M33" s="3777"/>
      <c r="N33" s="3727"/>
    </row>
    <row r="34" spans="1:15" s="3726" customFormat="1" ht="17.25" customHeight="1">
      <c r="A34" s="3723" t="s">
        <v>1300</v>
      </c>
      <c r="B34" s="3724"/>
      <c r="C34" s="3728">
        <v>10039985.050000001</v>
      </c>
      <c r="D34" s="3544">
        <v>0</v>
      </c>
      <c r="E34" s="3539">
        <f t="shared" si="0"/>
        <v>10039985.050000001</v>
      </c>
      <c r="F34" s="3539"/>
      <c r="G34" s="3728">
        <v>110224300.95999999</v>
      </c>
      <c r="H34" s="3544">
        <v>0</v>
      </c>
      <c r="I34" s="3539">
        <f t="shared" si="1"/>
        <v>110224300.95999999</v>
      </c>
      <c r="J34" s="3777"/>
      <c r="K34" s="3777"/>
      <c r="L34" s="3777"/>
      <c r="M34" s="3777"/>
      <c r="N34" s="3727"/>
    </row>
    <row r="35" spans="1:15" s="3726" customFormat="1" ht="17.25" customHeight="1">
      <c r="A35" s="3723" t="s">
        <v>1301</v>
      </c>
      <c r="B35" s="3724"/>
      <c r="C35" s="3728">
        <v>218450.31</v>
      </c>
      <c r="D35" s="3544">
        <v>0</v>
      </c>
      <c r="E35" s="3539">
        <f t="shared" si="0"/>
        <v>218450.31</v>
      </c>
      <c r="F35" s="3539"/>
      <c r="G35" s="3728">
        <v>2788759.56</v>
      </c>
      <c r="H35" s="3544">
        <v>0</v>
      </c>
      <c r="I35" s="3539">
        <f t="shared" si="1"/>
        <v>2788759.56</v>
      </c>
      <c r="J35" s="3777"/>
      <c r="K35" s="3777"/>
      <c r="L35" s="3777"/>
      <c r="M35" s="3777"/>
      <c r="N35" s="3727"/>
    </row>
    <row r="36" spans="1:15" s="3726" customFormat="1" ht="17.25" customHeight="1">
      <c r="A36" s="3529" t="s">
        <v>1320</v>
      </c>
      <c r="B36" s="3724"/>
      <c r="C36" s="3728">
        <v>358929967.24000001</v>
      </c>
      <c r="D36" s="3544">
        <v>188820</v>
      </c>
      <c r="E36" s="3539">
        <f t="shared" si="0"/>
        <v>359118787.24000001</v>
      </c>
      <c r="F36" s="3539"/>
      <c r="G36" s="3728">
        <v>4700504899.0699997</v>
      </c>
      <c r="H36" s="3544">
        <v>19063940</v>
      </c>
      <c r="I36" s="3539">
        <f t="shared" si="1"/>
        <v>4719568839.0699997</v>
      </c>
      <c r="J36" s="3777"/>
      <c r="K36" s="3777"/>
      <c r="L36" s="3777"/>
      <c r="M36" s="3777"/>
      <c r="N36" s="3727"/>
    </row>
    <row r="37" spans="1:15" s="3726" customFormat="1" ht="17.25" customHeight="1">
      <c r="A37" s="3723" t="s">
        <v>1302</v>
      </c>
      <c r="B37" s="3724"/>
      <c r="C37" s="3728">
        <v>135210474.63999999</v>
      </c>
      <c r="D37" s="3544">
        <v>0</v>
      </c>
      <c r="E37" s="3539">
        <f t="shared" si="0"/>
        <v>135210474.63999999</v>
      </c>
      <c r="F37" s="3539"/>
      <c r="G37" s="3728">
        <v>1000985197.1900001</v>
      </c>
      <c r="H37" s="3544">
        <v>0</v>
      </c>
      <c r="I37" s="3539">
        <f t="shared" si="1"/>
        <v>1000985197.1900001</v>
      </c>
      <c r="J37" s="3777"/>
      <c r="K37" s="3777"/>
      <c r="L37" s="3777"/>
      <c r="M37" s="3777"/>
      <c r="N37" s="3727"/>
    </row>
    <row r="38" spans="1:15" s="3726" customFormat="1" ht="17.25" customHeight="1">
      <c r="A38" s="3723" t="s">
        <v>1307</v>
      </c>
      <c r="B38" s="3724"/>
      <c r="C38" s="3728">
        <v>149795.25</v>
      </c>
      <c r="D38" s="3544">
        <v>0</v>
      </c>
      <c r="E38" s="3539">
        <f t="shared" si="0"/>
        <v>149795.25</v>
      </c>
      <c r="F38" s="3539"/>
      <c r="G38" s="3728">
        <v>1867937.23</v>
      </c>
      <c r="H38" s="3544">
        <v>0</v>
      </c>
      <c r="I38" s="3539">
        <f t="shared" si="1"/>
        <v>1867937.23</v>
      </c>
      <c r="J38" s="3777"/>
      <c r="K38" s="3777"/>
      <c r="L38" s="3777"/>
      <c r="M38" s="3777"/>
      <c r="N38" s="3727"/>
    </row>
    <row r="39" spans="1:15" s="3726" customFormat="1" ht="17.25" customHeight="1">
      <c r="A39" s="3723" t="s">
        <v>1292</v>
      </c>
      <c r="B39" s="3724"/>
      <c r="C39" s="3728">
        <v>350000000</v>
      </c>
      <c r="D39" s="3544">
        <v>0</v>
      </c>
      <c r="E39" s="3539">
        <f t="shared" si="0"/>
        <v>350000000</v>
      </c>
      <c r="F39" s="3539"/>
      <c r="G39" s="3728">
        <v>3450000000</v>
      </c>
      <c r="H39" s="3544">
        <v>0</v>
      </c>
      <c r="I39" s="3539">
        <f t="shared" si="1"/>
        <v>3450000000</v>
      </c>
      <c r="J39" s="3777"/>
      <c r="K39" s="3777"/>
      <c r="L39" s="3777"/>
      <c r="M39" s="3777"/>
      <c r="N39" s="3727"/>
    </row>
    <row r="40" spans="1:15" s="3726" customFormat="1" ht="17.25" customHeight="1">
      <c r="A40" s="3723" t="s">
        <v>1308</v>
      </c>
      <c r="B40" s="3724"/>
      <c r="C40" s="3728">
        <v>46379682.079999998</v>
      </c>
      <c r="D40" s="3544">
        <v>0</v>
      </c>
      <c r="E40" s="3539">
        <f t="shared" si="0"/>
        <v>46379682.079999998</v>
      </c>
      <c r="F40" s="3539"/>
      <c r="G40" s="3728">
        <v>600188346.5</v>
      </c>
      <c r="H40" s="3544">
        <v>0</v>
      </c>
      <c r="I40" s="3539">
        <f t="shared" si="1"/>
        <v>600188346.5</v>
      </c>
      <c r="J40" s="3781"/>
      <c r="K40" s="3777"/>
      <c r="L40" s="3777"/>
      <c r="M40" s="3777"/>
      <c r="N40" s="3727"/>
    </row>
    <row r="41" spans="1:15" s="3726" customFormat="1" ht="17.25" customHeight="1">
      <c r="A41" s="3723" t="s">
        <v>1309</v>
      </c>
      <c r="B41" s="3724"/>
      <c r="C41" s="3728">
        <v>70439000</v>
      </c>
      <c r="D41" s="3544">
        <v>0</v>
      </c>
      <c r="E41" s="3539">
        <f t="shared" si="0"/>
        <v>70439000</v>
      </c>
      <c r="F41" s="3539"/>
      <c r="G41" s="3728">
        <v>632129000</v>
      </c>
      <c r="H41" s="3544">
        <v>0</v>
      </c>
      <c r="I41" s="3539">
        <f t="shared" si="1"/>
        <v>632129000</v>
      </c>
      <c r="J41" s="3777"/>
      <c r="K41" s="3777"/>
      <c r="L41" s="3777"/>
      <c r="M41" s="3777"/>
      <c r="N41" s="3727"/>
    </row>
    <row r="42" spans="1:15" s="3726" customFormat="1" ht="17.25" customHeight="1">
      <c r="A42" s="3723" t="s">
        <v>1343</v>
      </c>
      <c r="B42" s="3724"/>
      <c r="C42" s="3728">
        <v>0</v>
      </c>
      <c r="D42" s="3544">
        <v>0</v>
      </c>
      <c r="E42" s="3539">
        <f t="shared" si="0"/>
        <v>0</v>
      </c>
      <c r="F42" s="3539"/>
      <c r="G42" s="3728">
        <v>165561662.36000001</v>
      </c>
      <c r="H42" s="3544">
        <v>0</v>
      </c>
      <c r="I42" s="3539">
        <f t="shared" si="1"/>
        <v>165561662.36000001</v>
      </c>
      <c r="J42" s="3777"/>
      <c r="K42" s="3777"/>
      <c r="L42" s="3777"/>
      <c r="M42" s="3777"/>
      <c r="N42" s="3727"/>
    </row>
    <row r="43" spans="1:15" s="3722" customFormat="1" ht="17.25" customHeight="1">
      <c r="A43" s="3730" t="s">
        <v>1317</v>
      </c>
      <c r="B43" s="3685"/>
      <c r="C43" s="3731">
        <f>SUM(C11:C42)</f>
        <v>1841084869.9199996</v>
      </c>
      <c r="D43" s="3731">
        <f>SUM(D11:D42)</f>
        <v>28536717.219999999</v>
      </c>
      <c r="E43" s="3731">
        <f>SUM(E11:E42)</f>
        <v>1869621587.1399999</v>
      </c>
      <c r="F43" s="3732"/>
      <c r="G43" s="3731">
        <f>SUM(G11:G42)</f>
        <v>19798374618.049999</v>
      </c>
      <c r="H43" s="3731">
        <f>SUM(H11:H42)</f>
        <v>2282438997.9999995</v>
      </c>
      <c r="I43" s="3731">
        <f>SUM(I11:I42)</f>
        <v>22080813616.049999</v>
      </c>
      <c r="J43" s="3756"/>
      <c r="K43" s="3777"/>
      <c r="L43" s="3777"/>
      <c r="M43" s="3756"/>
      <c r="N43" s="3727"/>
      <c r="O43" s="3726"/>
    </row>
    <row r="44" spans="1:15" ht="9.6" customHeight="1">
      <c r="A44" s="3719"/>
      <c r="B44" s="3573"/>
      <c r="C44" s="3546"/>
      <c r="D44" s="3546"/>
      <c r="E44" s="3546"/>
      <c r="F44" s="3546"/>
      <c r="G44" s="3547"/>
      <c r="H44" s="3547"/>
      <c r="I44" s="3547"/>
      <c r="K44" s="3777"/>
    </row>
    <row r="45" spans="1:15" ht="34.5" customHeight="1">
      <c r="A45" s="3733" t="s">
        <v>1329</v>
      </c>
      <c r="B45" s="3573"/>
      <c r="C45" s="3901">
        <v>-139741913.19999999</v>
      </c>
      <c r="D45" s="3907">
        <v>0</v>
      </c>
      <c r="E45" s="3908">
        <f>C45+D45</f>
        <v>-139741913.19999999</v>
      </c>
      <c r="F45" s="3909"/>
      <c r="G45" s="3785">
        <v>-1255610821.7</v>
      </c>
      <c r="H45" s="3785">
        <v>0</v>
      </c>
      <c r="I45" s="3910">
        <f>G45+H45</f>
        <v>-1255610821.7</v>
      </c>
      <c r="J45" s="3572"/>
      <c r="K45" s="3777"/>
      <c r="L45" s="3748"/>
    </row>
    <row r="46" spans="1:15" ht="15.6" customHeight="1">
      <c r="A46" s="3734"/>
      <c r="B46" s="3573"/>
      <c r="C46" s="3838"/>
      <c r="D46" s="3838"/>
      <c r="E46" s="3838"/>
      <c r="F46" s="3838"/>
      <c r="G46" s="3839"/>
      <c r="H46" s="3839" t="s">
        <v>14</v>
      </c>
      <c r="I46" s="3839"/>
      <c r="K46" s="3777"/>
    </row>
    <row r="47" spans="1:15" ht="17.25" customHeight="1" thickBot="1">
      <c r="A47" s="3734" t="s">
        <v>1293</v>
      </c>
      <c r="B47" s="3573"/>
      <c r="C47" s="3735">
        <f>+C43+C45</f>
        <v>1701342956.7199996</v>
      </c>
      <c r="D47" s="3575">
        <f>+D43</f>
        <v>28536717.219999999</v>
      </c>
      <c r="E47" s="3575">
        <f>+E43+E45</f>
        <v>1729879673.9399998</v>
      </c>
      <c r="F47" s="3687"/>
      <c r="G47" s="3575">
        <f>+G43+G45</f>
        <v>18542763796.349998</v>
      </c>
      <c r="H47" s="3575">
        <f>+H43</f>
        <v>2282438997.9999995</v>
      </c>
      <c r="I47" s="3575">
        <f>+I43+I45</f>
        <v>20825202794.349998</v>
      </c>
      <c r="J47" s="3748"/>
      <c r="K47" s="3777"/>
      <c r="L47" s="3748"/>
    </row>
    <row r="48" spans="1:15" ht="17.25" customHeight="1" thickTop="1">
      <c r="A48" s="3736"/>
      <c r="B48" s="3536"/>
      <c r="C48" s="3736"/>
      <c r="D48" s="3736"/>
      <c r="E48" s="3737"/>
      <c r="F48" s="3737"/>
      <c r="G48" s="3576"/>
      <c r="H48" s="3576"/>
      <c r="I48" s="3576"/>
      <c r="J48" s="3748"/>
      <c r="K48" s="3748"/>
    </row>
    <row r="49" spans="1:17" ht="16.350000000000001" customHeight="1">
      <c r="A49" s="3738" t="s">
        <v>1334</v>
      </c>
      <c r="B49" s="3536" t="s">
        <v>14</v>
      </c>
      <c r="C49" s="3832"/>
      <c r="D49" s="3840"/>
      <c r="E49" s="3841"/>
      <c r="F49" s="3758"/>
      <c r="G49" s="3572" t="s">
        <v>14</v>
      </c>
      <c r="H49" s="3572"/>
      <c r="I49" s="3572" t="s">
        <v>14</v>
      </c>
      <c r="J49" s="3748"/>
    </row>
    <row r="50" spans="1:17" ht="16.350000000000001" customHeight="1">
      <c r="A50" s="3741" t="s">
        <v>1337</v>
      </c>
      <c r="B50" s="3536"/>
      <c r="C50" s="3742"/>
      <c r="D50" s="3743"/>
      <c r="E50" s="3744" t="s">
        <v>14</v>
      </c>
      <c r="F50" s="3745"/>
      <c r="G50" s="3746" t="s">
        <v>14</v>
      </c>
      <c r="H50" s="3577"/>
      <c r="I50" s="3532" t="s">
        <v>14</v>
      </c>
      <c r="J50" s="3748" t="s">
        <v>14</v>
      </c>
    </row>
    <row r="51" spans="1:17" ht="16.350000000000001" customHeight="1">
      <c r="A51" s="3747" t="s">
        <v>1336</v>
      </c>
      <c r="B51" s="3536"/>
      <c r="C51" s="3739" t="s">
        <v>14</v>
      </c>
      <c r="D51" s="3736"/>
      <c r="E51" s="3739" t="s">
        <v>14</v>
      </c>
      <c r="F51" s="3736"/>
      <c r="G51" s="3748" t="s">
        <v>14</v>
      </c>
      <c r="H51" s="3536"/>
      <c r="I51" s="3740" t="s">
        <v>14</v>
      </c>
      <c r="J51" s="3748"/>
    </row>
    <row r="52" spans="1:17" s="3690" customFormat="1" ht="16.350000000000001" customHeight="1">
      <c r="A52" s="3747" t="s">
        <v>1340</v>
      </c>
      <c r="B52" s="3522"/>
      <c r="C52" s="3690" t="s">
        <v>14</v>
      </c>
      <c r="E52" s="3749" t="s">
        <v>14</v>
      </c>
      <c r="G52" s="3785" t="s">
        <v>14</v>
      </c>
      <c r="H52" s="3522"/>
      <c r="I52" s="3748" t="s">
        <v>14</v>
      </c>
      <c r="J52" s="3748"/>
      <c r="K52" s="3750"/>
      <c r="L52" s="3750"/>
      <c r="M52" s="3750"/>
      <c r="N52" s="3522"/>
      <c r="O52" s="3522"/>
      <c r="P52" s="3522"/>
      <c r="Q52" s="3522"/>
    </row>
    <row r="53" spans="1:17" s="3690" customFormat="1" ht="13.35" customHeight="1">
      <c r="A53" s="3747" t="s">
        <v>1332</v>
      </c>
      <c r="B53" s="3522"/>
      <c r="C53" s="3749"/>
      <c r="G53" s="3748" t="s">
        <v>14</v>
      </c>
      <c r="H53" s="3522"/>
      <c r="I53" s="3740" t="s">
        <v>14</v>
      </c>
      <c r="J53" s="3748"/>
      <c r="K53" s="3750"/>
      <c r="L53" s="3750"/>
      <c r="M53" s="3750"/>
      <c r="N53" s="3522"/>
      <c r="O53" s="3522"/>
      <c r="P53" s="3522"/>
      <c r="Q53" s="3522"/>
    </row>
    <row r="54" spans="1:17" ht="17.25" customHeight="1">
      <c r="A54" s="3747" t="s">
        <v>1323</v>
      </c>
      <c r="G54" s="3900" t="s">
        <v>14</v>
      </c>
    </row>
    <row r="55" spans="1:17" ht="17.25" customHeight="1">
      <c r="C55" s="3749"/>
      <c r="G55" s="3900" t="s">
        <v>14</v>
      </c>
    </row>
    <row r="56" spans="1:17" ht="17.25" customHeight="1">
      <c r="C56" s="3870"/>
      <c r="D56" s="3870"/>
      <c r="E56" s="3870"/>
      <c r="F56" s="3870"/>
      <c r="G56" s="3871"/>
      <c r="H56" s="3871"/>
      <c r="I56" s="3872"/>
    </row>
    <row r="58" spans="1:17" ht="17.25" customHeight="1">
      <c r="I58" s="3536" t="s">
        <v>14</v>
      </c>
    </row>
  </sheetData>
  <mergeCells count="2">
    <mergeCell ref="C7:E7"/>
    <mergeCell ref="G7:I7"/>
  </mergeCells>
  <printOptions horizontalCentered="1"/>
  <pageMargins left="0.17" right="0.18" top="0.44" bottom="0.27" header="0.23" footer="0.18"/>
  <pageSetup scale="53"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49"/>
  <sheetViews>
    <sheetView showGridLines="0" zoomScale="70" zoomScaleNormal="70" workbookViewId="0"/>
  </sheetViews>
  <sheetFormatPr defaultColWidth="8.81640625" defaultRowHeight="14.4"/>
  <cols>
    <col min="1" max="1" width="58.81640625" style="3759" customWidth="1"/>
    <col min="2" max="2" width="2" style="3522" customWidth="1"/>
    <col min="3" max="3" width="21.08984375" style="3690" customWidth="1"/>
    <col min="4" max="4" width="21.81640625" style="3690" customWidth="1"/>
    <col min="5" max="5" width="19.81640625" style="3690" customWidth="1"/>
    <col min="6" max="6" width="0.81640625" style="3690" customWidth="1"/>
    <col min="7" max="7" width="22.08984375" style="3525" customWidth="1"/>
    <col min="8" max="8" width="20.81640625" style="3522" customWidth="1"/>
    <col min="9" max="9" width="21.81640625" style="3522" customWidth="1"/>
    <col min="10" max="10" width="21.08984375" style="3522" customWidth="1"/>
    <col min="11" max="11" width="19.08984375" style="3522" customWidth="1"/>
    <col min="12" max="12" width="17.81640625" style="3522" customWidth="1"/>
    <col min="13" max="13" width="14.81640625" style="3522" bestFit="1" customWidth="1"/>
    <col min="14" max="14" width="14.7265625" style="3522" bestFit="1" customWidth="1"/>
    <col min="15" max="16384" width="8.81640625" style="3522"/>
  </cols>
  <sheetData>
    <row r="1" spans="1:14" ht="15.6">
      <c r="A1" s="1484" t="s">
        <v>881</v>
      </c>
    </row>
    <row r="3" spans="1:14" ht="25.35" customHeight="1">
      <c r="A3" s="3716" t="s">
        <v>0</v>
      </c>
      <c r="C3" s="3523"/>
      <c r="D3" s="3523"/>
      <c r="E3" s="3523"/>
      <c r="F3" s="3524"/>
      <c r="I3" s="3528" t="s">
        <v>1313</v>
      </c>
    </row>
    <row r="4" spans="1:14" ht="25.35" customHeight="1">
      <c r="A4" s="3717" t="s">
        <v>1333</v>
      </c>
      <c r="C4" s="3523"/>
      <c r="D4" s="3523"/>
      <c r="E4" s="3523"/>
      <c r="F4" s="3524"/>
    </row>
    <row r="5" spans="1:14" ht="18.600000000000001" customHeight="1">
      <c r="A5" s="3815" t="str">
        <f>'Appendix H'!A5</f>
        <v xml:space="preserve">FISCAL YEAR 2021-2022   </v>
      </c>
      <c r="C5" s="3523"/>
      <c r="D5" s="3523"/>
      <c r="E5" s="3523"/>
      <c r="F5" s="3524"/>
    </row>
    <row r="6" spans="1:14" ht="21">
      <c r="A6" s="3753"/>
      <c r="C6" s="3523"/>
      <c r="D6" s="3523"/>
      <c r="E6" s="3523"/>
      <c r="F6" s="3524"/>
    </row>
    <row r="7" spans="1:14" ht="15.6">
      <c r="A7" s="3754"/>
      <c r="B7" s="3573"/>
      <c r="C7" s="4010" t="str">
        <f>'Appendix H'!C7:E7</f>
        <v>JANUARY 2022</v>
      </c>
      <c r="D7" s="4011"/>
      <c r="E7" s="4011"/>
      <c r="F7" s="3680"/>
      <c r="G7" s="4011" t="str">
        <f>'Appendix H'!G7:I7</f>
        <v>10 MONTHS ENDED JANUARY 31</v>
      </c>
      <c r="H7" s="4011"/>
      <c r="I7" s="4011"/>
    </row>
    <row r="8" spans="1:14" ht="15.6">
      <c r="A8" s="3754"/>
      <c r="B8" s="3573"/>
      <c r="C8" s="3681"/>
      <c r="D8" s="3681"/>
      <c r="E8" s="3681"/>
      <c r="F8" s="3681"/>
      <c r="G8" s="3682"/>
      <c r="H8" s="3573"/>
      <c r="I8" s="3573"/>
    </row>
    <row r="9" spans="1:14" ht="15.6">
      <c r="A9" s="3755"/>
      <c r="B9" s="3573"/>
      <c r="C9" s="3574" t="s">
        <v>1280</v>
      </c>
      <c r="D9" s="3574" t="s">
        <v>1281</v>
      </c>
      <c r="E9" s="3574" t="s">
        <v>1582</v>
      </c>
      <c r="F9" s="3574"/>
      <c r="G9" s="3574" t="s">
        <v>1280</v>
      </c>
      <c r="H9" s="3574" t="s">
        <v>1281</v>
      </c>
      <c r="I9" s="3526" t="s">
        <v>1282</v>
      </c>
    </row>
    <row r="10" spans="1:14" s="3722" customFormat="1" ht="15.6">
      <c r="A10" s="3720"/>
      <c r="B10" s="3685"/>
      <c r="C10" s="3683"/>
      <c r="D10" s="3683"/>
      <c r="E10" s="3683"/>
      <c r="F10" s="3683"/>
      <c r="G10" s="3684"/>
      <c r="H10" s="3685"/>
      <c r="I10" s="3684"/>
    </row>
    <row r="11" spans="1:14" s="3726" customFormat="1" ht="15.6">
      <c r="A11" s="3723" t="s">
        <v>1315</v>
      </c>
      <c r="B11" s="3724"/>
      <c r="C11" s="3686">
        <v>10839661.210000001</v>
      </c>
      <c r="D11" s="3686">
        <v>0</v>
      </c>
      <c r="E11" s="3687">
        <f>C11+D11</f>
        <v>10839661.210000001</v>
      </c>
      <c r="F11" s="3687"/>
      <c r="G11" s="3686">
        <v>123052654.11</v>
      </c>
      <c r="H11" s="3686">
        <f>D11</f>
        <v>0</v>
      </c>
      <c r="I11" s="3687">
        <f>G11+H11</f>
        <v>123052654.11</v>
      </c>
      <c r="J11" s="3727"/>
      <c r="K11" s="3727"/>
      <c r="L11" s="3727"/>
    </row>
    <row r="12" spans="1:14" s="3726" customFormat="1" ht="15.6">
      <c r="A12" s="3723" t="s">
        <v>1294</v>
      </c>
      <c r="B12" s="3724"/>
      <c r="C12" s="3544">
        <v>3257812.5</v>
      </c>
      <c r="D12" s="3544">
        <v>26536210</v>
      </c>
      <c r="E12" s="3539">
        <f>C12+D12</f>
        <v>29794022.5</v>
      </c>
      <c r="F12" s="3539"/>
      <c r="G12" s="3544">
        <v>12965490.42</v>
      </c>
      <c r="H12" s="3544">
        <v>281336226</v>
      </c>
      <c r="I12" s="3539">
        <f>G12+H12</f>
        <v>294301716.42000002</v>
      </c>
      <c r="J12" s="3727"/>
      <c r="K12" s="3727"/>
      <c r="L12" s="3727"/>
      <c r="M12" s="3777"/>
      <c r="N12" s="3777"/>
    </row>
    <row r="13" spans="1:14" s="3726" customFormat="1" ht="15.6">
      <c r="A13" s="3723" t="s">
        <v>1295</v>
      </c>
      <c r="B13" s="3724"/>
      <c r="C13" s="3544">
        <v>561080575.39999998</v>
      </c>
      <c r="D13" s="3544">
        <v>0</v>
      </c>
      <c r="E13" s="3539">
        <f t="shared" ref="E13:E24" si="0">C13+D13</f>
        <v>561080575.39999998</v>
      </c>
      <c r="F13" s="3539"/>
      <c r="G13" s="3544">
        <v>4031201085.4499998</v>
      </c>
      <c r="H13" s="3544">
        <f t="shared" ref="H13:H24" si="1">D13</f>
        <v>0</v>
      </c>
      <c r="I13" s="3539">
        <f t="shared" ref="I13:I24" si="2">G13+H13</f>
        <v>4031201085.4499998</v>
      </c>
      <c r="J13" s="3727"/>
      <c r="K13" s="3727"/>
      <c r="L13" s="3727"/>
      <c r="M13" s="3777"/>
    </row>
    <row r="14" spans="1:14" s="3726" customFormat="1" ht="15.6">
      <c r="A14" s="3723" t="s">
        <v>1296</v>
      </c>
      <c r="B14" s="3724"/>
      <c r="C14" s="3544">
        <v>36176524.32</v>
      </c>
      <c r="D14" s="3544">
        <v>0</v>
      </c>
      <c r="E14" s="3539">
        <f t="shared" si="0"/>
        <v>36176524.32</v>
      </c>
      <c r="F14" s="3539"/>
      <c r="G14" s="3544">
        <v>424160894.69</v>
      </c>
      <c r="H14" s="3544">
        <f t="shared" si="1"/>
        <v>0</v>
      </c>
      <c r="I14" s="3539">
        <f>G14+H14</f>
        <v>424160894.69</v>
      </c>
      <c r="J14" s="3727"/>
      <c r="K14" s="3727"/>
      <c r="L14" s="3727"/>
      <c r="M14" s="3777"/>
    </row>
    <row r="15" spans="1:14" s="3726" customFormat="1" ht="15.6">
      <c r="A15" s="3723" t="s">
        <v>1297</v>
      </c>
      <c r="B15" s="3724"/>
      <c r="C15" s="3544">
        <v>48938972.090000004</v>
      </c>
      <c r="D15" s="3544">
        <v>0</v>
      </c>
      <c r="E15" s="3539">
        <f t="shared" si="0"/>
        <v>48938972.090000004</v>
      </c>
      <c r="F15" s="3539"/>
      <c r="G15" s="3544">
        <v>574923058.14999998</v>
      </c>
      <c r="H15" s="3544">
        <f t="shared" si="1"/>
        <v>0</v>
      </c>
      <c r="I15" s="3539">
        <f t="shared" si="2"/>
        <v>574923058.14999998</v>
      </c>
      <c r="J15" s="3727"/>
      <c r="K15" s="3727"/>
      <c r="L15" s="3727"/>
      <c r="M15" s="3777"/>
    </row>
    <row r="16" spans="1:14" s="3726" customFormat="1" ht="15.6">
      <c r="A16" s="3723" t="s">
        <v>1290</v>
      </c>
      <c r="B16" s="3724"/>
      <c r="C16" s="3544">
        <v>143328645.75999999</v>
      </c>
      <c r="D16" s="3544">
        <v>0</v>
      </c>
      <c r="E16" s="3539">
        <f t="shared" si="0"/>
        <v>143328645.75999999</v>
      </c>
      <c r="F16" s="3539"/>
      <c r="G16" s="3544">
        <v>1547478915.6900001</v>
      </c>
      <c r="H16" s="3544">
        <f t="shared" si="1"/>
        <v>0</v>
      </c>
      <c r="I16" s="3539">
        <f t="shared" si="2"/>
        <v>1547478915.6900001</v>
      </c>
      <c r="J16" s="3727"/>
      <c r="K16" s="3727"/>
      <c r="L16" s="3727"/>
      <c r="M16" s="3777"/>
    </row>
    <row r="17" spans="1:14" s="3726" customFormat="1" ht="15.6">
      <c r="A17" s="3723" t="s">
        <v>1298</v>
      </c>
      <c r="B17" s="3724"/>
      <c r="C17" s="3544">
        <v>1319814527.5</v>
      </c>
      <c r="D17" s="3544">
        <v>0</v>
      </c>
      <c r="E17" s="3539">
        <f t="shared" si="0"/>
        <v>1319814527.5</v>
      </c>
      <c r="F17" s="3539"/>
      <c r="G17" s="3544">
        <v>14668582265.93</v>
      </c>
      <c r="H17" s="3544">
        <f t="shared" si="1"/>
        <v>0</v>
      </c>
      <c r="I17" s="3539">
        <f t="shared" si="2"/>
        <v>14668582265.93</v>
      </c>
      <c r="J17" s="3727"/>
      <c r="K17" s="3727"/>
      <c r="L17" s="3727"/>
      <c r="M17" s="3777"/>
    </row>
    <row r="18" spans="1:14" s="3726" customFormat="1" ht="15.6">
      <c r="A18" s="3723" t="s">
        <v>1299</v>
      </c>
      <c r="B18" s="3724"/>
      <c r="C18" s="3544">
        <v>1732877243.1300001</v>
      </c>
      <c r="D18" s="3544">
        <v>0</v>
      </c>
      <c r="E18" s="3539">
        <f t="shared" si="0"/>
        <v>1732877243.1300001</v>
      </c>
      <c r="F18" s="3539"/>
      <c r="G18" s="3544">
        <v>17223799182.77</v>
      </c>
      <c r="H18" s="3544">
        <f t="shared" si="1"/>
        <v>0</v>
      </c>
      <c r="I18" s="3539">
        <f t="shared" si="2"/>
        <v>17223799182.77</v>
      </c>
      <c r="J18" s="3727"/>
      <c r="K18" s="3727"/>
      <c r="L18" s="3727"/>
      <c r="M18" s="3777"/>
    </row>
    <row r="19" spans="1:14" s="3726" customFormat="1" ht="15.6">
      <c r="A19" s="3723" t="s">
        <v>1291</v>
      </c>
      <c r="B19" s="3724"/>
      <c r="C19" s="3544">
        <v>32502453.399999999</v>
      </c>
      <c r="D19" s="3544">
        <v>0</v>
      </c>
      <c r="E19" s="3539">
        <f t="shared" si="0"/>
        <v>32502453.399999999</v>
      </c>
      <c r="F19" s="3539"/>
      <c r="G19" s="3544">
        <v>352356110.61000001</v>
      </c>
      <c r="H19" s="3544">
        <f t="shared" si="1"/>
        <v>0</v>
      </c>
      <c r="I19" s="3539">
        <f t="shared" si="2"/>
        <v>352356110.61000001</v>
      </c>
      <c r="J19" s="3727"/>
      <c r="K19" s="3727"/>
      <c r="L19" s="3727"/>
      <c r="M19" s="3777"/>
    </row>
    <row r="20" spans="1:14" s="3726" customFormat="1" ht="15.6">
      <c r="A20" s="3723" t="s">
        <v>1300</v>
      </c>
      <c r="B20" s="3724"/>
      <c r="C20" s="3544">
        <v>40018200.399999999</v>
      </c>
      <c r="D20" s="3544">
        <v>0</v>
      </c>
      <c r="E20" s="3539">
        <f t="shared" si="0"/>
        <v>40018200.399999999</v>
      </c>
      <c r="F20" s="3539"/>
      <c r="G20" s="3544">
        <v>434077589.92000002</v>
      </c>
      <c r="H20" s="3544">
        <f t="shared" si="1"/>
        <v>0</v>
      </c>
      <c r="I20" s="3539">
        <f t="shared" si="2"/>
        <v>434077589.92000002</v>
      </c>
      <c r="J20" s="3727"/>
      <c r="K20" s="3727"/>
      <c r="L20" s="3727"/>
      <c r="M20" s="3777"/>
    </row>
    <row r="21" spans="1:14" s="3726" customFormat="1" ht="15.6">
      <c r="A21" s="3723" t="s">
        <v>1301</v>
      </c>
      <c r="B21" s="3724"/>
      <c r="C21" s="3544">
        <v>623574.73</v>
      </c>
      <c r="D21" s="3544">
        <v>0</v>
      </c>
      <c r="E21" s="3539">
        <f t="shared" si="0"/>
        <v>623574.73</v>
      </c>
      <c r="F21" s="3539"/>
      <c r="G21" s="3544">
        <v>8106110.7800000003</v>
      </c>
      <c r="H21" s="3544">
        <f t="shared" si="1"/>
        <v>0</v>
      </c>
      <c r="I21" s="3539">
        <f t="shared" si="2"/>
        <v>8106110.7800000003</v>
      </c>
      <c r="J21" s="3727"/>
      <c r="K21" s="3727"/>
      <c r="L21" s="3727"/>
      <c r="M21" s="3777"/>
    </row>
    <row r="22" spans="1:14" s="3726" customFormat="1" ht="15.6">
      <c r="A22" s="3723" t="s">
        <v>1319</v>
      </c>
      <c r="B22" s="3724"/>
      <c r="C22" s="3544">
        <v>-84427072.819999993</v>
      </c>
      <c r="D22" s="3544">
        <v>2464546</v>
      </c>
      <c r="E22" s="3539">
        <f t="shared" si="0"/>
        <v>-81962526.819999993</v>
      </c>
      <c r="F22" s="3539"/>
      <c r="G22" s="3544">
        <v>-335873309.97000003</v>
      </c>
      <c r="H22" s="3544">
        <v>35003522</v>
      </c>
      <c r="I22" s="3539">
        <f t="shared" si="2"/>
        <v>-300869787.97000003</v>
      </c>
      <c r="J22" s="3727"/>
      <c r="K22" s="3727"/>
      <c r="L22" s="3727"/>
      <c r="M22" s="3777"/>
      <c r="N22" s="3777"/>
    </row>
    <row r="23" spans="1:14" s="3726" customFormat="1" ht="15.6">
      <c r="A23" s="3723" t="s">
        <v>1302</v>
      </c>
      <c r="B23" s="3724"/>
      <c r="C23" s="3544">
        <v>75625000.010000005</v>
      </c>
      <c r="D23" s="3544">
        <v>0</v>
      </c>
      <c r="E23" s="3539">
        <f>C23+D23</f>
        <v>75625000.010000005</v>
      </c>
      <c r="F23" s="3539"/>
      <c r="G23" s="3544">
        <v>599158275.40999997</v>
      </c>
      <c r="H23" s="3544">
        <f t="shared" si="1"/>
        <v>0</v>
      </c>
      <c r="I23" s="3539">
        <f t="shared" si="2"/>
        <v>599158275.40999997</v>
      </c>
      <c r="J23" s="3727"/>
      <c r="K23" s="3727"/>
      <c r="L23" s="3727"/>
    </row>
    <row r="24" spans="1:14" s="3726" customFormat="1" ht="15.75" customHeight="1">
      <c r="A24" s="3723" t="s">
        <v>1343</v>
      </c>
      <c r="B24" s="3724"/>
      <c r="C24" s="3544">
        <v>0</v>
      </c>
      <c r="D24" s="3544">
        <v>0</v>
      </c>
      <c r="E24" s="3539">
        <f t="shared" si="0"/>
        <v>0</v>
      </c>
      <c r="F24" s="3539"/>
      <c r="G24" s="3544">
        <v>212433000.63999999</v>
      </c>
      <c r="H24" s="3544">
        <f t="shared" si="1"/>
        <v>0</v>
      </c>
      <c r="I24" s="3539">
        <f t="shared" si="2"/>
        <v>212433000.63999999</v>
      </c>
      <c r="J24" s="3727"/>
      <c r="K24" s="3727"/>
      <c r="L24" s="3727"/>
    </row>
    <row r="25" spans="1:14" s="3722" customFormat="1" ht="26.1" customHeight="1">
      <c r="A25" s="3730" t="s">
        <v>1317</v>
      </c>
      <c r="B25" s="3685"/>
      <c r="C25" s="3545">
        <f>SUM(C11:C24)</f>
        <v>3920656117.6300006</v>
      </c>
      <c r="D25" s="3545">
        <f>SUM(D11:D24)</f>
        <v>29000756</v>
      </c>
      <c r="E25" s="3545">
        <f>SUM(E11:E24)</f>
        <v>3949656873.6300006</v>
      </c>
      <c r="F25" s="3688"/>
      <c r="G25" s="3545">
        <f>SUM(G11:G24)</f>
        <v>39876421324.600006</v>
      </c>
      <c r="H25" s="3545">
        <f>SUM(H11:H24)</f>
        <v>316339748</v>
      </c>
      <c r="I25" s="3545">
        <f>SUM(I11:I24)</f>
        <v>40192761072.599998</v>
      </c>
      <c r="J25" s="3756"/>
      <c r="K25" s="3727"/>
      <c r="L25" s="3727"/>
    </row>
    <row r="26" spans="1:14" ht="6.6" customHeight="1">
      <c r="A26" s="3757"/>
      <c r="B26" s="3573"/>
      <c r="C26" s="3689"/>
      <c r="D26" s="3689"/>
      <c r="E26" s="3689"/>
      <c r="F26" s="3689"/>
      <c r="G26" s="3572"/>
      <c r="H26" s="3572"/>
      <c r="I26" s="3572"/>
      <c r="K26" s="3884"/>
    </row>
    <row r="27" spans="1:14" ht="42" customHeight="1">
      <c r="A27" s="3733" t="s">
        <v>1330</v>
      </c>
      <c r="B27" s="3573"/>
      <c r="C27" s="3901">
        <v>-132507962.87</v>
      </c>
      <c r="D27" s="3902">
        <v>0</v>
      </c>
      <c r="E27" s="3903">
        <f>+C27</f>
        <v>-132507962.87</v>
      </c>
      <c r="F27" s="3904"/>
      <c r="G27" s="3785">
        <v>-1352570450.45</v>
      </c>
      <c r="H27" s="3905">
        <v>0</v>
      </c>
      <c r="I27" s="3906">
        <f>G27+H27</f>
        <v>-1352570450.45</v>
      </c>
      <c r="J27" s="3748"/>
      <c r="K27" s="3790"/>
    </row>
    <row r="28" spans="1:14" ht="15.6" customHeight="1">
      <c r="A28" s="3734"/>
      <c r="B28" s="3573"/>
      <c r="C28" s="3788"/>
      <c r="D28" s="3788"/>
      <c r="E28" s="3788"/>
      <c r="F28" s="3788"/>
      <c r="G28" s="3789"/>
      <c r="H28" s="3789"/>
      <c r="I28" s="3789"/>
      <c r="J28" s="3536"/>
      <c r="K28" s="3748"/>
    </row>
    <row r="29" spans="1:14" ht="18.600000000000001" thickBot="1">
      <c r="A29" s="3734" t="s">
        <v>1318</v>
      </c>
      <c r="B29" s="3573"/>
      <c r="C29" s="3575">
        <f>+C25+C27</f>
        <v>3788148154.7600007</v>
      </c>
      <c r="D29" s="3575">
        <f>D25</f>
        <v>29000756</v>
      </c>
      <c r="E29" s="3575">
        <f>E25+E27</f>
        <v>3817148910.7600007</v>
      </c>
      <c r="F29" s="3687"/>
      <c r="G29" s="3575">
        <f>+G25+G27</f>
        <v>38523850874.150009</v>
      </c>
      <c r="H29" s="3575">
        <f>H25</f>
        <v>316339748</v>
      </c>
      <c r="I29" s="3575">
        <f>I25+I27</f>
        <v>38840190622.150002</v>
      </c>
      <c r="J29" s="3740" t="s">
        <v>14</v>
      </c>
      <c r="K29" s="3748"/>
    </row>
    <row r="30" spans="1:14" ht="15" thickTop="1">
      <c r="J30" s="3752"/>
      <c r="K30" s="3748"/>
    </row>
    <row r="31" spans="1:14" ht="16.350000000000001" customHeight="1">
      <c r="A31" s="3738" t="s">
        <v>1335</v>
      </c>
      <c r="D31" s="3751"/>
      <c r="E31" s="3749" t="s">
        <v>14</v>
      </c>
      <c r="G31" s="3785" t="s">
        <v>14</v>
      </c>
      <c r="H31" s="3750"/>
      <c r="I31" s="3748" t="s">
        <v>14</v>
      </c>
      <c r="J31" s="3536" t="s">
        <v>14</v>
      </c>
      <c r="K31" s="3748"/>
    </row>
    <row r="32" spans="1:14" ht="16.350000000000001" customHeight="1">
      <c r="A32" s="3741" t="s">
        <v>1337</v>
      </c>
      <c r="C32" s="3742"/>
      <c r="D32" s="3742"/>
      <c r="E32" s="3533"/>
      <c r="F32" s="3534"/>
      <c r="G32" s="3746" t="s">
        <v>14</v>
      </c>
      <c r="H32" s="3746"/>
      <c r="I32" s="3535" t="s">
        <v>14</v>
      </c>
      <c r="K32" s="3748"/>
    </row>
    <row r="33" spans="1:10" ht="14.85" customHeight="1">
      <c r="A33" s="3747" t="s">
        <v>1336</v>
      </c>
      <c r="C33" s="3832"/>
      <c r="D33" s="3833"/>
      <c r="E33" s="3834" t="s">
        <v>14</v>
      </c>
      <c r="F33" s="3835"/>
      <c r="G33" s="3572" t="s">
        <v>14</v>
      </c>
      <c r="H33" s="3836"/>
      <c r="I33" s="3837" t="s">
        <v>14</v>
      </c>
    </row>
    <row r="34" spans="1:10" ht="16.350000000000001" customHeight="1">
      <c r="A34" s="3747" t="s">
        <v>1321</v>
      </c>
      <c r="C34" s="3749"/>
      <c r="E34" s="3749" t="s">
        <v>14</v>
      </c>
      <c r="G34" s="3572"/>
      <c r="I34" s="3748" t="s">
        <v>14</v>
      </c>
    </row>
    <row r="35" spans="1:10" ht="16.350000000000001" customHeight="1">
      <c r="A35" s="3747" t="s">
        <v>1322</v>
      </c>
      <c r="E35" s="3749" t="s">
        <v>14</v>
      </c>
      <c r="G35" s="3748" t="s">
        <v>14</v>
      </c>
    </row>
    <row r="36" spans="1:10">
      <c r="G36" s="3748" t="s">
        <v>14</v>
      </c>
    </row>
    <row r="37" spans="1:10">
      <c r="E37" s="3749" t="s">
        <v>14</v>
      </c>
    </row>
    <row r="38" spans="1:10">
      <c r="I38" s="3748" t="s">
        <v>14</v>
      </c>
    </row>
    <row r="39" spans="1:10">
      <c r="I39" s="3748" t="s">
        <v>14</v>
      </c>
    </row>
    <row r="44" spans="1:10" ht="11.85" customHeight="1">
      <c r="D44" s="3749"/>
      <c r="E44" s="3749"/>
      <c r="F44" s="3749"/>
      <c r="G44" s="3750"/>
      <c r="H44" s="3750"/>
      <c r="I44" s="3750"/>
      <c r="J44" s="3750"/>
    </row>
    <row r="45" spans="1:10">
      <c r="D45" s="3749"/>
      <c r="E45" s="3749" t="s">
        <v>14</v>
      </c>
      <c r="F45" s="3749"/>
      <c r="G45" s="3750"/>
      <c r="H45" s="3750"/>
      <c r="I45" s="3748" t="s">
        <v>14</v>
      </c>
      <c r="J45" s="3750"/>
    </row>
    <row r="46" spans="1:10">
      <c r="D46" s="3749"/>
      <c r="E46" s="3749"/>
      <c r="F46" s="3749"/>
      <c r="G46" s="3750"/>
      <c r="H46" s="3750"/>
      <c r="I46" s="3750"/>
      <c r="J46" s="3750"/>
    </row>
    <row r="47" spans="1:10">
      <c r="D47" s="3749"/>
      <c r="E47" s="3749"/>
      <c r="F47" s="3749"/>
      <c r="G47" s="3750"/>
      <c r="H47" s="3750"/>
      <c r="I47" s="3750"/>
      <c r="J47" s="3750"/>
    </row>
    <row r="48" spans="1:10">
      <c r="D48" s="3749"/>
      <c r="E48" s="3749"/>
      <c r="F48" s="3749"/>
      <c r="G48" s="3750"/>
      <c r="H48" s="3750"/>
      <c r="I48" s="3748" t="s">
        <v>14</v>
      </c>
      <c r="J48" s="3750"/>
    </row>
    <row r="49" spans="4:10">
      <c r="D49" s="3749"/>
      <c r="E49" s="3749"/>
      <c r="F49" s="3749"/>
      <c r="G49" s="3750"/>
      <c r="H49" s="3750"/>
      <c r="I49" s="3748" t="s">
        <v>14</v>
      </c>
      <c r="J49" s="3750"/>
    </row>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2022-02-15T18:55:04Z</dcterms:created>
  <dcterms:modified xsi:type="dcterms:W3CDTF">2022-02-15T19:53:44Z</dcterms:modified>
</cp:coreProperties>
</file>